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data" ContentType="application/vnd.openxmlformats-officedocument.model+data"/>
  <Default Extension="vml" ContentType="application/vnd.openxmlformats-officedocument.vmlDrawing"/>
  <Default Extension="jpg" ContentType="image/p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drawings/drawing5.xml" ContentType="application/vnd.openxmlformats-officedocument.drawing+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drawings/drawing6.xml" ContentType="application/vnd.openxmlformats-officedocument.drawing+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drawings/drawing7.xml" ContentType="application/vnd.openxmlformats-officedocument.drawing+xml"/>
  <Override PartName="/xl/tables/table39.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8.xml" ContentType="application/vnd.openxmlformats-officedocument.drawing+xml"/>
  <Override PartName="/xl/tables/table40.xml" ContentType="application/vnd.openxmlformats-officedocument.spreadsheetml.table+xml"/>
  <Override PartName="/xl/drawings/drawing9.xml" ContentType="application/vnd.openxmlformats-officedocument.drawing+xml"/>
  <Override PartName="/xl/tables/table41.xml" ContentType="application/vnd.openxmlformats-officedocument.spreadsheetml.table+xml"/>
  <Override PartName="/xl/media/image16.jpg" ContentType="image/jpeg"/>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cmahnken\Downloads\"/>
    </mc:Choice>
  </mc:AlternateContent>
  <bookViews>
    <workbookView xWindow="0" yWindow="0" windowWidth="15090" windowHeight="7185" tabRatio="804"/>
  </bookViews>
  <sheets>
    <sheet name="Gen Info" sheetId="10" r:id="rId1"/>
    <sheet name="Final Balance Sheet" sheetId="11" r:id="rId2"/>
    <sheet name="Bal Sheet Entry" sheetId="7" r:id="rId3"/>
    <sheet name="Asset Detail" sheetId="4" r:id="rId4"/>
    <sheet name="Liability Detail" sheetId="5" r:id="rId5"/>
    <sheet name="Loans" sheetId="12" r:id="rId6"/>
    <sheet name="P&amp;L-Annual Cash Flow" sheetId="2" r:id="rId7"/>
    <sheet name="Monthly Cash Flow" sheetId="8" r:id="rId8"/>
    <sheet name="Inputs" sheetId="13" state="hidden" r:id="rId9"/>
  </sheets>
  <functionGroups builtInGroupCount="18"/>
  <definedNames>
    <definedName name="_xlnm._FilterDatabase" localSheetId="6" hidden="1">'P&amp;L-Annual Cash Flow'!$E$69:$E$123</definedName>
    <definedName name="_xlcn.WorksheetConnection_FishBizFinancials.xlsxTabAPHideDM1" hidden="1">'P&amp;L-Annual Cash Flow'!$A$69:$A$123</definedName>
    <definedName name="_xlcn.WorksheetConnection_FishBizFinancials.xlsxTabMPHideDM1" hidden="1">'Monthly Cash Flow'!$J$1:$J$40</definedName>
    <definedName name="ACFCapPurchInput">'P&amp;L-Annual Cash Flow'!$D$61</definedName>
    <definedName name="ACFCrewEarnedInput">'P&amp;L-Annual Cash Flow'!$D$23</definedName>
    <definedName name="ACFDMCapPurchInput">'P&amp;L-Annual Cash Flow'!$D$117</definedName>
    <definedName name="ACFDMEtcInput">'P&amp;L-Annual Cash Flow'!$D$80</definedName>
    <definedName name="ACFDMFCDeprInput">'P&amp;L-Annual Cash Flow'!$D$103</definedName>
    <definedName name="ACFDMFCIntInput">'P&amp;L-Annual Cash Flow'!$D$104</definedName>
    <definedName name="ACFDMFCMiscInput">'P&amp;L-Annual Cash Flow'!$D$105</definedName>
    <definedName name="ACFDMFCOthInput">'P&amp;L-Annual Cash Flow'!$D$106</definedName>
    <definedName name="ACFDMFCPermitsInput">'P&amp;L-Annual Cash Flow'!$D$101</definedName>
    <definedName name="ACFDMFCPromoInput">'P&amp;L-Annual Cash Flow'!$D$100</definedName>
    <definedName name="ACFDMFCRentInput">'P&amp;L-Annual Cash Flow'!$D$99</definedName>
    <definedName name="ACFDMFCVehInput">'P&amp;L-Annual Cash Flow'!$D$102</definedName>
    <definedName name="ACFDMGainInput">'P&amp;L-Annual Cash Flow'!$D$81</definedName>
    <definedName name="ACFDMNewCredInput">'P&amp;L-Annual Cash Flow'!$D$116</definedName>
    <definedName name="ACFDMOthInput">'P&amp;L-Annual Cash Flow'!$D$82</definedName>
    <definedName name="ACFDMPrinInput">'P&amp;L-Annual Cash Flow'!$D$115</definedName>
    <definedName name="ACFDMSaleInput">'P&amp;L-Annual Cash Flow'!$D$79</definedName>
    <definedName name="ACFDMSaleShoreBSValInput">'P&amp;L-Annual Cash Flow'!$D$119</definedName>
    <definedName name="ACFDMSaleShoreInput">'P&amp;L-Annual Cash Flow'!$D$118</definedName>
    <definedName name="ACFDMVCColdInput">'P&amp;L-Annual Cash Flow'!$D$92</definedName>
    <definedName name="ACFDMVCFinProdInput">'P&amp;L-Annual Cash Flow'!$D$93</definedName>
    <definedName name="ACFDMVCInsInput">'P&amp;L-Annual Cash Flow'!$D$87</definedName>
    <definedName name="ACFDMVCLaborInput">'P&amp;L-Annual Cash Flow'!$D$86</definedName>
    <definedName name="ACFDMVCMiscInput">'P&amp;L-Annual Cash Flow'!$D$94</definedName>
    <definedName name="ACFDMVCOthInput">'P&amp;L-Annual Cash Flow'!$D$95</definedName>
    <definedName name="ACFDMVCPackInput">'P&amp;L-Annual Cash Flow'!$D$88</definedName>
    <definedName name="ACFDMVCShipInput">'P&amp;L-Annual Cash Flow'!$D$90</definedName>
    <definedName name="ACFDMVCSuppliesInput">'P&amp;L-Annual Cash Flow'!$D$89</definedName>
    <definedName name="ACFDMVCUtilInput">'P&amp;L-Annual Cash Flow'!$D$91</definedName>
    <definedName name="ACFFCDeprInput">'P&amp;L-Annual Cash Flow'!$D$44</definedName>
    <definedName name="ACFFCInterestInput">'P&amp;L-Annual Cash Flow'!$D$43</definedName>
    <definedName name="ACFFCMiscInput">'P&amp;L-Annual Cash Flow'!$D$49</definedName>
    <definedName name="ACFFCOthInput">'P&amp;L-Annual Cash Flow'!$D$50</definedName>
    <definedName name="ACFFCPermitInput">'P&amp;L-Annual Cash Flow'!$D$42</definedName>
    <definedName name="ACFFCPermitsInput">'P&amp;L-Annual Cash Flow'!$D$45</definedName>
    <definedName name="ACFFCPortInput">'P&amp;L-Annual Cash Flow'!$D$41</definedName>
    <definedName name="ACFFCProfInput">'P&amp;L-Annual Cash Flow'!$D$47</definedName>
    <definedName name="ACFFCPropTaxInput">'P&amp;L-Annual Cash Flow'!$D$48</definedName>
    <definedName name="ACFFCVesInsInput">'P&amp;L-Annual Cash Flow'!$D$46</definedName>
    <definedName name="ACFFishSalesInput">'P&amp;L-Annual Cash Flow'!$D$19</definedName>
    <definedName name="ACFGainPermitInput">'P&amp;L-Annual Cash Flow'!$D$22</definedName>
    <definedName name="ACFGainVesInput">'P&amp;L-Annual Cash Flow'!$D$21</definedName>
    <definedName name="ACFNewCredInput">'P&amp;L-Annual Cash Flow'!$D$60</definedName>
    <definedName name="ACFOthIncomeInput">'P&amp;L-Annual Cash Flow'!$D$24</definedName>
    <definedName name="ACFPChildCareInput">'P&amp;L-Annual Cash Flow'!$D$151</definedName>
    <definedName name="ACFPChildSupInput">'P&amp;L-Annual Cash Flow'!$D$152</definedName>
    <definedName name="ACFPClothingInput">'P&amp;L-Annual Cash Flow'!$D$149</definedName>
    <definedName name="ACFPDisInsInput">'P&amp;L-Annual Cash Flow'!$D$146</definedName>
    <definedName name="ACFPEducationInput">'P&amp;L-Annual Cash Flow'!$D$153</definedName>
    <definedName name="ACFPermitBSValInput">'P&amp;L-Annual Cash Flow'!$D$65</definedName>
    <definedName name="ACFPermitSaleInput">'P&amp;L-Annual Cash Flow'!$D$64</definedName>
    <definedName name="ACFPFoodInput">'P&amp;L-Annual Cash Flow'!$D$142</definedName>
    <definedName name="ACFPGiftsInput">'P&amp;L-Annual Cash Flow'!$D$147</definedName>
    <definedName name="ACFPIncPersLoansInput">'P&amp;L-Annual Cash Flow'!$D$163</definedName>
    <definedName name="ACFPIncPersREEInput">'P&amp;L-Annual Cash Flow'!$D$162</definedName>
    <definedName name="ACFPIncTaxInput">'P&amp;L-Annual Cash Flow'!$D$161</definedName>
    <definedName name="ACFPInsInput">'P&amp;L-Annual Cash Flow'!$D$144</definedName>
    <definedName name="ACFPIntInput">'P&amp;L-Annual Cash Flow'!$D$136</definedName>
    <definedName name="ACFPInvestInput">'P&amp;L-Annual Cash Flow'!$D$137</definedName>
    <definedName name="ACFPLifeInsInput">'P&amp;L-Annual Cash Flow'!$D$145</definedName>
    <definedName name="ACFPLoanPayInput">'P&amp;L-Annual Cash Flow'!$D$157</definedName>
    <definedName name="ACFPMedicalInput">'P&amp;L-Annual Cash Flow'!$D$143</definedName>
    <definedName name="ACFPMortInput">'P&amp;L-Annual Cash Flow'!$D$158</definedName>
    <definedName name="ACFPOthIncInput">'P&amp;L-Annual Cash Flow'!$D$138</definedName>
    <definedName name="ACFPOthPayInput">'P&amp;L-Annual Cash Flow'!$D$165</definedName>
    <definedName name="ACFPOthPurchInput">'P&amp;L-Annual Cash Flow'!$D$164</definedName>
    <definedName name="ACFPPersCareInput">'P&amp;L-Annual Cash Flow'!$D$150</definedName>
    <definedName name="ACFPPropInsInput">'P&amp;L-Annual Cash Flow'!$D$159</definedName>
    <definedName name="ACFPRecInput">'P&amp;L-Annual Cash Flow'!$D$154</definedName>
    <definedName name="ACFPRETaxesInput">'P&amp;L-Annual Cash Flow'!$D$160</definedName>
    <definedName name="ACFPrinInput">'P&amp;L-Annual Cash Flow'!$D$59</definedName>
    <definedName name="ACFPSupInput">'P&amp;L-Annual Cash Flow'!$D$148</definedName>
    <definedName name="ACFPUtilInput">'P&amp;L-Annual Cash Flow'!$D$155</definedName>
    <definedName name="ACFPVehInput">'P&amp;L-Annual Cash Flow'!$D$156</definedName>
    <definedName name="ACFPWagesInput">'P&amp;L-Annual Cash Flow'!$D$135</definedName>
    <definedName name="ACFVCBaitInput">'P&amp;L-Annual Cash Flow'!$D$34</definedName>
    <definedName name="ACFVCCrewInput">'P&amp;L-Annual Cash Flow'!$D$28</definedName>
    <definedName name="ACFVCCrewInsInput">'P&amp;L-Annual Cash Flow'!$D$29</definedName>
    <definedName name="ACFVCFuelInput">'P&amp;L-Annual Cash Flow'!$D$31</definedName>
    <definedName name="ACFVCGearInput">'P&amp;L-Annual Cash Flow'!$D$32</definedName>
    <definedName name="ACFVCMiscInput">'P&amp;L-Annual Cash Flow'!$D$35</definedName>
    <definedName name="ACFVCOthInput">'P&amp;L-Annual Cash Flow'!$D$37</definedName>
    <definedName name="ACFVCProvisionsInput">'P&amp;L-Annual Cash Flow'!$D$30</definedName>
    <definedName name="ACFVCRepairsInput">'P&amp;L-Annual Cash Flow'!$D$33</definedName>
    <definedName name="ACFVCTaxesInput">'P&amp;L-Annual Cash Flow'!$D$36</definedName>
    <definedName name="ACFVesBSValInput">'P&amp;L-Annual Cash Flow'!$D$63</definedName>
    <definedName name="ACFVesLeaseInput">'P&amp;L-Annual Cash Flow'!$D$20</definedName>
    <definedName name="ACFVesSalesInput">'P&amp;L-Annual Cash Flow'!$D$62</definedName>
    <definedName name="Address">'Gen Info'!$K$12</definedName>
    <definedName name="AnnualIcon">Inputs!$D$24</definedName>
    <definedName name="BalanceSheet">'Final Balance Sheet'!$B$1:$G$56</definedName>
    <definedName name="Blank">Inputs!$A$1</definedName>
    <definedName name="BSBusLoans">'Bal Sheet Entry'!$D$10</definedName>
    <definedName name="BSCABusLoans">'Bal Sheet Entry'!$D$10</definedName>
    <definedName name="BSCACash">'Bal Sheet Entry'!$D$7</definedName>
    <definedName name="BSCADueProc">'Bal Sheet Entry'!$D$8</definedName>
    <definedName name="BSCAOthBusAR">'Bal Sheet Entry'!$D$9</definedName>
    <definedName name="BSCAOther">'Bal Sheet Entry'!$D$12</definedName>
    <definedName name="BSCAPrepaid">'Bal Sheet Entry'!$D$11</definedName>
    <definedName name="BSCLAP">'Bal Sheet Entry'!$D$26</definedName>
    <definedName name="BSCLCC">'Bal Sheet Entry'!$D$27</definedName>
    <definedName name="BSCLCurrent">'Bal Sheet Entry'!$D$29</definedName>
    <definedName name="BSCLCurrLT">'Bal Sheet Entry'!$D$30</definedName>
    <definedName name="BSCLOth">'Bal Sheet Entry'!$D$31</definedName>
    <definedName name="BSCLTaxes">'Bal Sheet Entry'!$D$28</definedName>
    <definedName name="BSNCCapConst">'Bal Sheet Entry'!$D$19</definedName>
    <definedName name="BSNCOth">'Bal Sheet Entry'!$D$21</definedName>
    <definedName name="BSNCOthFishEquip">'Bal Sheet Entry'!$D$16</definedName>
    <definedName name="BSNCPermits">'Bal Sheet Entry'!$D$18</definedName>
    <definedName name="BSNCRE">'Bal Sheet Entry'!$D$20</definedName>
    <definedName name="BSNCVehicles">'Bal Sheet Entry'!$D$17</definedName>
    <definedName name="BSNCVessel">'Bal Sheet Entry'!$D$15</definedName>
    <definedName name="BSNLBVeh">'Bal Sheet Entry'!$D$36</definedName>
    <definedName name="BSNLOth">'Bal Sheet Entry'!$D$38</definedName>
    <definedName name="BSNLPermit">'Bal Sheet Entry'!$D$35</definedName>
    <definedName name="BSNLRE">'Bal Sheet Entry'!$D$37</definedName>
    <definedName name="BSNLVessel">'Bal Sheet Entry'!$D$34</definedName>
    <definedName name="BSPersCash">'Bal Sheet Entry'!$D$54</definedName>
    <definedName name="BSPLAP">'Bal Sheet Entry'!$D$66</definedName>
    <definedName name="BSPLCC">'Bal Sheet Entry'!$D$68</definedName>
    <definedName name="BSPLife">'Bal Sheet Entry'!$D$59</definedName>
    <definedName name="BSPLLoans">'Bal Sheet Entry'!$D$67</definedName>
    <definedName name="BSPLOth">'Bal Sheet Entry'!$D$71</definedName>
    <definedName name="BSPLR">'Bal Sheet Entry'!$D$56</definedName>
    <definedName name="BSPLRE">'Bal Sheet Entry'!$D$70</definedName>
    <definedName name="BSPLTaxes">'Bal Sheet Entry'!$D$69</definedName>
    <definedName name="BSPOth">'Bal Sheet Entry'!$D$62</definedName>
    <definedName name="BSPProp">'Bal Sheet Entry'!$D$57</definedName>
    <definedName name="BSPRE">'Bal Sheet Entry'!$D$61</definedName>
    <definedName name="BSPRetire">'Bal Sheet Entry'!$D$60</definedName>
    <definedName name="BSPStocks">'Bal Sheet Entry'!$D$55</definedName>
    <definedName name="BSPVeh">'Bal Sheet Entry'!$D$58</definedName>
    <definedName name="BusName">'Gen Info'!$K$11</definedName>
    <definedName name="CABusLoanEntry">'Asset Detail'!$A$21</definedName>
    <definedName name="CABusLoansRecTot">'Asset Detail'!$B$22</definedName>
    <definedName name="CACashEntry">'Asset Detail'!$A$8</definedName>
    <definedName name="CACashTot">'Asset Detail'!$B$10</definedName>
    <definedName name="CADueEntry">'Asset Detail'!$A$13</definedName>
    <definedName name="CADueProcTot">'Asset Detail'!$B$14</definedName>
    <definedName name="CAOthAREntry">'Asset Detail'!$A$17</definedName>
    <definedName name="CAOtherEntry">'Asset Detail'!$A$29</definedName>
    <definedName name="CAOtherTot">'Asset Detail'!$B$30</definedName>
    <definedName name="CAOthRecTot">'Asset Detail'!$B$18</definedName>
    <definedName name="CAPrepaidEntry">'Asset Detail'!$A$25</definedName>
    <definedName name="CAPrepaids">CAPrepaid[#All]</definedName>
    <definedName name="CAPrepaidTot">'Asset Detail'!$B$26</definedName>
    <definedName name="CashChoice">#REF!</definedName>
    <definedName name="CashDetail">'Asset Detail'!$B$10</definedName>
    <definedName name="CashLink">INDIRECT(#REF!)</definedName>
    <definedName name="CashLinkChoice">INDIRECT('Gen Info'!$K$25)</definedName>
    <definedName name="City">'Gen Info'!$K$13</definedName>
    <definedName name="CLAPEntry">'Liability Detail'!$A$8</definedName>
    <definedName name="CLAPTot">'Liability Detail'!$B$9</definedName>
    <definedName name="CLBizCCEntry">'Liability Detail'!$A$12</definedName>
    <definedName name="CLBizCCTot">'Liability Detail'!$B$13</definedName>
    <definedName name="CLOthCurEntry">'Liability Detail'!$A$20</definedName>
    <definedName name="CLOthCurTot">'Liability Detail'!$B$21</definedName>
    <definedName name="CLTaxesEntry">'Liability Detail'!$A$16</definedName>
    <definedName name="CLTaxesTot">'Liability Detail'!$B$17</definedName>
    <definedName name="_xlnm.Criteria" localSheetId="6">'P&amp;L-Annual Cash Flow'!$F$69</definedName>
    <definedName name="CurAssetsDet">CACash[#All]</definedName>
    <definedName name="CurPortLT">Loans!$L$1</definedName>
    <definedName name="CurrentAssetsDetail">'Asset Detail'!$A$5:$B$30</definedName>
    <definedName name="DMNetIncome">'P&amp;L-Annual Cash Flow'!$E$111:$F$111</definedName>
    <definedName name="FishingNetIncome">'P&amp;L-Annual Cash Flow'!$E$55:$F$55</definedName>
    <definedName name="GenDate">'Gen Info'!$K$8</definedName>
    <definedName name="Header_Row">ROW(#REF!)</definedName>
    <definedName name="HowSell">'Gen Info'!$K$19</definedName>
    <definedName name="Last_Row">IF(Values_Entered,Header_Row+Number_of_Payments,Header_Row)</definedName>
    <definedName name="LoanBVehEntry">Loans!$M$25</definedName>
    <definedName name="LoanCurrent">Loans!$E$7</definedName>
    <definedName name="LoanFreq">Inputs!$A$4:$A$7</definedName>
    <definedName name="LoanPermitEntry">Loans!$M$19</definedName>
    <definedName name="LoanPersEntry">Loans!$M$37</definedName>
    <definedName name="LoanPersEntryCurrent">Loans!$L$37</definedName>
    <definedName name="LoanPersREEntry">Loans!$M$43</definedName>
    <definedName name="LoanPersREEntryCurrent">Loans!$L$43</definedName>
    <definedName name="LoanREEntry">Loans!$M$31</definedName>
    <definedName name="LoanTBVeh">Loans!$B$23</definedName>
    <definedName name="LoanTCurrEntry">LoansCurrent[Lender]</definedName>
    <definedName name="LoanTPermitEntry">Loans!$B$17</definedName>
    <definedName name="LoanTPerREEntry">Loans!$B$41</definedName>
    <definedName name="LoanTPersEntry">Loans!$B$35</definedName>
    <definedName name="LoanTREEntry">Loans!$B$29</definedName>
    <definedName name="LoanTVesEntry">LoanVessel[Lender]</definedName>
    <definedName name="LoanTVessel">LoanVessel[Lender]</definedName>
    <definedName name="LoanTVessEntry">Loans!$B$11</definedName>
    <definedName name="LoanVesselEntry">Loans!$M$13</definedName>
    <definedName name="MCFCapPurchInput">'Monthly Cash Flow'!$E$51</definedName>
    <definedName name="MCFCapPurchTot">'Monthly Cash Flow'!$D$51</definedName>
    <definedName name="MCFCrewEarnedInput">'Monthly Cash Flow'!$E$15</definedName>
    <definedName name="MCFCrewEarnedTot">'Monthly Cash Flow'!$D$15</definedName>
    <definedName name="MCFDMCapPurchInput">'Monthly Cash Flow'!$E$101</definedName>
    <definedName name="MCFDMCapPurchTot">'Monthly Cash Flow'!$D$101</definedName>
    <definedName name="MCFDMEquipBSValInput">'Monthly Cash Flow'!$E$103</definedName>
    <definedName name="MCFDMEquipBSValTot">'Monthly Cash Flow'!$D$103</definedName>
    <definedName name="MCFDMEquipSaleTot">'Monthly Cash Flow'!$D$102</definedName>
    <definedName name="MCFDMEtcInput">'Monthly Cash Flow'!$E$65</definedName>
    <definedName name="MCFDMEtcTot">'Monthly Cash Flow'!$D$65</definedName>
    <definedName name="MCFDMFCDeprTot">'Monthly Cash Flow'!$D$88</definedName>
    <definedName name="MCFDMFCIntInput">'Monthly Cash Flow'!$E$89</definedName>
    <definedName name="MCFDMFCIntTot">'Monthly Cash Flow'!$D$89</definedName>
    <definedName name="MCFDMFCMiscInput">'Monthly Cash Flow'!$E$90</definedName>
    <definedName name="MCFDMFCMiscTot">'Monthly Cash Flow'!$D$90</definedName>
    <definedName name="MCFDMFCOthInput">'Monthly Cash Flow'!$E$91</definedName>
    <definedName name="MCFDMFCOthTot">'Monthly Cash Flow'!$D$91</definedName>
    <definedName name="MCFDMFCPermitsInput">'Monthly Cash Flow'!$E$86</definedName>
    <definedName name="MCFDMFCPermitTot">'Monthly Cash Flow'!$D$86</definedName>
    <definedName name="MCFDMFCPromoInput">'Monthly Cash Flow'!$E$85</definedName>
    <definedName name="MCFDMFCPromoTot">'Monthly Cash Flow'!$D$85</definedName>
    <definedName name="MCFDMFCRentInput">'Monthly Cash Flow'!$E$84</definedName>
    <definedName name="MCFDMFCRentTot">'Monthly Cash Flow'!$D$84</definedName>
    <definedName name="MCFDMFCVehInput">'Monthly Cash Flow'!$E$87</definedName>
    <definedName name="MCFDMFCVehTot">'Monthly Cash Flow'!$D$87</definedName>
    <definedName name="MCFDMGainInput">'Monthly Cash Flow'!$E$66</definedName>
    <definedName name="MCFDMGainShoreTot">'Monthly Cash Flow'!$D$66</definedName>
    <definedName name="MCFDMNewCredInput">'Monthly Cash Flow'!$E$100</definedName>
    <definedName name="MCFDMNewCredTot">'Monthly Cash Flow'!$D$100</definedName>
    <definedName name="MCFDMOthInput">'Monthly Cash Flow'!$E$67</definedName>
    <definedName name="MCFDMOthTot">'Monthly Cash Flow'!$D$67</definedName>
    <definedName name="MCFDMPrinInput">'Monthly Cash Flow'!$E$99</definedName>
    <definedName name="MCFDMPrinTot">'Monthly Cash Flow'!$D$99</definedName>
    <definedName name="MCFDMSaleInput">'Monthly Cash Flow'!$E$64</definedName>
    <definedName name="MCFDMSalesTot">'Monthly Cash Flow'!$D$64</definedName>
    <definedName name="MCFDMShoreSaleInput">'Monthly Cash Flow'!$E$102</definedName>
    <definedName name="MCFDMVCColdInput">'Monthly Cash Flow'!$E$77</definedName>
    <definedName name="MCFDMVCColdTot">'Monthly Cash Flow'!$D$77</definedName>
    <definedName name="MCFDMVCDeprShoreInput">'Monthly Cash Flow'!$E$88</definedName>
    <definedName name="MCFDMVCInsInput">'Monthly Cash Flow'!$E$72</definedName>
    <definedName name="MCFDMVCInsTot">'Monthly Cash Flow'!$D$72</definedName>
    <definedName name="MCFDMVCLaborInput">'Monthly Cash Flow'!$E$71</definedName>
    <definedName name="MCFDMVCLaborTot">'Monthly Cash Flow'!$D$71</definedName>
    <definedName name="MCFDMVCMiscInput">'Monthly Cash Flow'!$E$79</definedName>
    <definedName name="MCFDMVCMiscTot">'Monthly Cash Flow'!$D$79</definedName>
    <definedName name="MCFDMVCOthInput">'Monthly Cash Flow'!$E$80</definedName>
    <definedName name="MCFDMVCOthTot">'Monthly Cash Flow'!$D$80</definedName>
    <definedName name="MCFDMVCPackInput">'Monthly Cash Flow'!$E$73</definedName>
    <definedName name="MCFDMVCPackTot">'Monthly Cash Flow'!$D$73</definedName>
    <definedName name="MCFDMVCPurchFinTot">'Monthly Cash Flow'!$D$78</definedName>
    <definedName name="MCFDMVCPurchInput">'Monthly Cash Flow'!$E$78</definedName>
    <definedName name="MCFDMVCShippingInput">'Monthly Cash Flow'!$E$75</definedName>
    <definedName name="MCFDMVCShippingTot">'Monthly Cash Flow'!$D$75</definedName>
    <definedName name="MCFDMVCSuppliedInput">'Monthly Cash Flow'!$E$74</definedName>
    <definedName name="MCFDMVCSuppliesTot">'Monthly Cash Flow'!$D$74</definedName>
    <definedName name="MCFDMVCUtilInput">'Monthly Cash Flow'!$E$76</definedName>
    <definedName name="MCFDMVCUtilTot">'Monthly Cash Flow'!$D$76</definedName>
    <definedName name="MCFFCAmortTot">'Monthly Cash Flow'!$D$37</definedName>
    <definedName name="MCFFCDeprInput">'Monthly Cash Flow'!$E$36</definedName>
    <definedName name="MCFFCDeprTot">'Monthly Cash Flow'!$D$36</definedName>
    <definedName name="MCFFCInterestInput">'Monthly Cash Flow'!$E$35</definedName>
    <definedName name="MCFFCInterestTot">'Monthly Cash Flow'!$D$35</definedName>
    <definedName name="MCFFCMiscInput">'Monthly Cash Flow'!$E$41</definedName>
    <definedName name="MCFFCMiscTot">'Monthly Cash Flow'!$D$41</definedName>
    <definedName name="MCFFCOthInput">'Monthly Cash Flow'!$E$42</definedName>
    <definedName name="MCFFCOthTot">'Monthly Cash Flow'!$D$42</definedName>
    <definedName name="MCFFCPermitInput">'Monthly Cash Flow'!$E$34</definedName>
    <definedName name="MCFFCPermitsInput">'Monthly Cash Flow'!$E$37</definedName>
    <definedName name="MCFFCPermitTot">'Monthly Cash Flow'!$D$34</definedName>
    <definedName name="MCFFCPortInput">'Monthly Cash Flow'!$E$33</definedName>
    <definedName name="MCFFCPortTot">'Monthly Cash Flow'!$D$33</definedName>
    <definedName name="MCFFCProfInput">'Monthly Cash Flow'!$E$39</definedName>
    <definedName name="MCFFCProfTot">'Monthly Cash Flow'!$D$39</definedName>
    <definedName name="MCFFCPropTaxesInput">'Monthly Cash Flow'!$E$40</definedName>
    <definedName name="MCFFCPropTaxTot">'Monthly Cash Flow'!$D$40</definedName>
    <definedName name="MCFFCVesInsInput">'Monthly Cash Flow'!$E$38</definedName>
    <definedName name="MCFFCVesInsTot">'Monthly Cash Flow'!$D$38</definedName>
    <definedName name="MCFFishSalesInput">'Monthly Cash Flow'!$E$11</definedName>
    <definedName name="MCFGainPermitInput">'Monthly Cash Flow'!$E$14</definedName>
    <definedName name="MCFGainPermitTot">'Monthly Cash Flow'!$D$14</definedName>
    <definedName name="MCFGainVesInput">'Monthly Cash Flow'!$E$13</definedName>
    <definedName name="MCFGainVesTot">'Monthly Cash Flow'!$D$13</definedName>
    <definedName name="MCFNewCredInput">'Monthly Cash Flow'!$E$50</definedName>
    <definedName name="MCFNewCredTot">'Monthly Cash Flow'!$D$50</definedName>
    <definedName name="MCFOthIncomeInput">'Monthly Cash Flow'!$E$16</definedName>
    <definedName name="MCFOthTot">'Monthly Cash Flow'!$D$16</definedName>
    <definedName name="MCFPChildCareInput">'Monthly Cash Flow'!$E$129</definedName>
    <definedName name="MCFPChildCareTot">'Monthly Cash Flow'!$D$129</definedName>
    <definedName name="MCFPChildSupportInput">'Monthly Cash Flow'!$E$130</definedName>
    <definedName name="MCFPChildSupTot">'Monthly Cash Flow'!$D$130</definedName>
    <definedName name="MCFPClothingInput">'Monthly Cash Flow'!$E$127</definedName>
    <definedName name="MCFPClothingTot">'Monthly Cash Flow'!$D$127</definedName>
    <definedName name="MCFPDisInsInput">'Monthly Cash Flow'!$E$124</definedName>
    <definedName name="MCFPDisInsTot">'Monthly Cash Flow'!$D$124</definedName>
    <definedName name="MCFPEducationInput">'Monthly Cash Flow'!$E$131</definedName>
    <definedName name="MCFPEducationTot">'Monthly Cash Flow'!$D$131</definedName>
    <definedName name="MCFPermitSalesInput">'Monthly Cash Flow'!$E$54</definedName>
    <definedName name="MCFPFoodInput">'Monthly Cash Flow'!$E$120</definedName>
    <definedName name="MCFPFoodTot">'Monthly Cash Flow'!$D$120</definedName>
    <definedName name="MCFPGiftsInput">'Monthly Cash Flow'!$E$125</definedName>
    <definedName name="MCFPGiftsTot">'Monthly Cash Flow'!$D$125</definedName>
    <definedName name="MCFPIncPersLoansInput">'Monthly Cash Flow'!$E$141</definedName>
    <definedName name="MCFPIncPersLoansTot">'Monthly Cash Flow'!$D$141</definedName>
    <definedName name="MCFPIncPersREEInput">'Monthly Cash Flow'!$E$140</definedName>
    <definedName name="MCFPIncPersREETot">'Monthly Cash Flow'!$D$140</definedName>
    <definedName name="MCFPIncTaxInput">'Monthly Cash Flow'!$E$139</definedName>
    <definedName name="MCFPIncTaxTot">'Monthly Cash Flow'!$D$139</definedName>
    <definedName name="MCFPInsInput">'Monthly Cash Flow'!$E$122</definedName>
    <definedName name="MCFPInsTot">'Monthly Cash Flow'!$D$122</definedName>
    <definedName name="MCFPIntIncInput">'Monthly Cash Flow'!$E$114</definedName>
    <definedName name="MCFPIntIncTot">'Monthly Cash Flow'!$D$114</definedName>
    <definedName name="MCFPInvestInput">'Monthly Cash Flow'!$E$115</definedName>
    <definedName name="MCFPInvestTot">'Monthly Cash Flow'!$D$115</definedName>
    <definedName name="MCFPLifeInsInput">'Monthly Cash Flow'!$E$123</definedName>
    <definedName name="MCFPLifeInsTot">'Monthly Cash Flow'!$D$123</definedName>
    <definedName name="MCFPLoanPayInput">'Monthly Cash Flow'!$E$135</definedName>
    <definedName name="MCFPLoanPayTot">'Monthly Cash Flow'!$D$135</definedName>
    <definedName name="MCFPMedicalInput">'Monthly Cash Flow'!$E$121</definedName>
    <definedName name="MCFPMedicalTot">'Monthly Cash Flow'!$D$121</definedName>
    <definedName name="MCFPMortInput">'Monthly Cash Flow'!$E$136</definedName>
    <definedName name="MCFPMortTot">'Monthly Cash Flow'!$D$136</definedName>
    <definedName name="MCFPOthIncTot">'Monthly Cash Flow'!$D$116</definedName>
    <definedName name="MCFPOthInput">'Monthly Cash Flow'!$E$116</definedName>
    <definedName name="MCFPOthPayInput">'Monthly Cash Flow'!$E$143</definedName>
    <definedName name="MCFPOthPayTot">'Monthly Cash Flow'!$D$143</definedName>
    <definedName name="MCFPOthPurchInput">'Monthly Cash Flow'!$E$142</definedName>
    <definedName name="MCFPOthPurchTot">'Monthly Cash Flow'!$D$142</definedName>
    <definedName name="MCFPPersCareInput">'Monthly Cash Flow'!$E$128</definedName>
    <definedName name="MCFPPersCareTot">'Monthly Cash Flow'!$D$128</definedName>
    <definedName name="MCFPPropInsInput">'Monthly Cash Flow'!$E$137</definedName>
    <definedName name="MCFPPropInsTot">'Monthly Cash Flow'!$D$137</definedName>
    <definedName name="MCFPRecInput">'Monthly Cash Flow'!$E$132</definedName>
    <definedName name="MCFPRecTot">'Monthly Cash Flow'!$D$132</definedName>
    <definedName name="MCFPRETaxesInput">'Monthly Cash Flow'!$E$138</definedName>
    <definedName name="MCFPRETaxesTot">'Monthly Cash Flow'!$D$138</definedName>
    <definedName name="MCFPrinInput">'Monthly Cash Flow'!$E$49</definedName>
    <definedName name="MCFPrinTot">'Monthly Cash Flow'!$D$49</definedName>
    <definedName name="MCFPSupInput">'Monthly Cash Flow'!$E$126</definedName>
    <definedName name="MCFPSupTot">'Monthly Cash Flow'!$D$126</definedName>
    <definedName name="MCFPUtilInput">'Monthly Cash Flow'!$E$133</definedName>
    <definedName name="MCFPUtilTot">'Monthly Cash Flow'!$D$133</definedName>
    <definedName name="MCFPVehInput">'Monthly Cash Flow'!$E$134</definedName>
    <definedName name="MCFPVehTot">'Monthly Cash Flow'!$D$134</definedName>
    <definedName name="MCFPWageInput">'Monthly Cash Flow'!$E$113</definedName>
    <definedName name="MCFPWagesTot">'Monthly Cash Flow'!$D$113</definedName>
    <definedName name="MCFQuotaBSValInput">'Monthly Cash Flow'!$E$55</definedName>
    <definedName name="MCFQuotaBSValTot">'Monthly Cash Flow'!$D$55</definedName>
    <definedName name="MCFQuotaSaleTot">'Monthly Cash Flow'!$D$54</definedName>
    <definedName name="MCFSalesTot">'Monthly Cash Flow'!$D$11</definedName>
    <definedName name="MCFVCBairInput">'Monthly Cash Flow'!$E$26</definedName>
    <definedName name="MCFVCBaitTot">'Monthly Cash Flow'!$D$26</definedName>
    <definedName name="MCFVCCrewInput">'Monthly Cash Flow'!$E$20</definedName>
    <definedName name="MCFVCCrewInsInput">'Monthly Cash Flow'!$E$21</definedName>
    <definedName name="MCFVCCrewInsTot">'Monthly Cash Flow'!$D$21</definedName>
    <definedName name="MCFVCCrewTot">'Monthly Cash Flow'!$D$20</definedName>
    <definedName name="MCFVCFuelInput">'Monthly Cash Flow'!$E$23</definedName>
    <definedName name="MCFVCFuelTot">'Monthly Cash Flow'!$D$23</definedName>
    <definedName name="MCFVCGearInput">'Monthly Cash Flow'!$E$24</definedName>
    <definedName name="MCFVCGearTot">'Monthly Cash Flow'!$D$24</definedName>
    <definedName name="MCFVCMiscInput">'Monthly Cash Flow'!$E$27</definedName>
    <definedName name="MCFVCMiscTot">'Monthly Cash Flow'!$D$27</definedName>
    <definedName name="MCFVCOthInput">'Monthly Cash Flow'!$E$29</definedName>
    <definedName name="MCFVCOthTot">'Monthly Cash Flow'!$D$29</definedName>
    <definedName name="MCFVCProvisionsInput">'Monthly Cash Flow'!$E$22</definedName>
    <definedName name="MCFVCProvisionsTot">'Monthly Cash Flow'!$D$22</definedName>
    <definedName name="MCFVCRepairsInput">'Monthly Cash Flow'!$E$25</definedName>
    <definedName name="MCFVCRepairsTot">'Monthly Cash Flow'!$D$25</definedName>
    <definedName name="MCFVCTaxesInput">'Monthly Cash Flow'!$E$28</definedName>
    <definedName name="MCFVCTaxesTot">'Monthly Cash Flow'!$D$28</definedName>
    <definedName name="MCFVesBSValInput">'Monthly Cash Flow'!$E$53</definedName>
    <definedName name="MCFVesBSValTot">'Monthly Cash Flow'!$D$53</definedName>
    <definedName name="MCFVesleaseInput">'Monthly Cash Flow'!$E$12</definedName>
    <definedName name="MCFVesLeasTot">'Monthly Cash Flow'!$D$12</definedName>
    <definedName name="MCFVesSalesInput">'Monthly Cash Flow'!$E$52</definedName>
    <definedName name="MCFVesSalesTot">'Monthly Cash Flow'!$D$52</definedName>
    <definedName name="MonthlyIcon1">Inputs!$D$25</definedName>
    <definedName name="Months">Inputs!$C$4:$C$15</definedName>
    <definedName name="Name">'Gen Info'!$K$10</definedName>
    <definedName name="NCAssetsDetail">'Asset Detail'!$D$5:$E$33</definedName>
    <definedName name="NCBizVehEntry">'Asset Detail'!$D$16</definedName>
    <definedName name="NCBusVehTot">'Asset Detail'!$E$17</definedName>
    <definedName name="NCCapConstEntry">'Asset Detail'!$D$24</definedName>
    <definedName name="NCCapConstTot">'Asset Detail'!$E$25</definedName>
    <definedName name="NCOthEntry">'Asset Detail'!$D$32</definedName>
    <definedName name="NCOtherFishEquipTot">'Asset Detail'!$E$13</definedName>
    <definedName name="NCOtherFishingTot">'Asset Detail'!$E$33</definedName>
    <definedName name="NCOthFishEntry">'Asset Detail'!$D$12</definedName>
    <definedName name="NCOthLiabEntry">'Liability Detail'!$A$24</definedName>
    <definedName name="NCOthLiabTot">'Liability Detail'!$B$25</definedName>
    <definedName name="NCPermitsEntry">'Asset Detail'!$D$20</definedName>
    <definedName name="NCPermitsTot">'Asset Detail'!$E$21</definedName>
    <definedName name="NCREEntry">'Asset Detail'!$D$28</definedName>
    <definedName name="NCRETot">'Asset Detail'!$E$29</definedName>
    <definedName name="NCVesselsEntry">'Asset Detail'!$D$8</definedName>
    <definedName name="NCVesselsTot">'Asset Detail'!$E$9</definedName>
    <definedName name="Number_of_Payments">MATCH(0.01,End_Bal,-1)+1</definedName>
    <definedName name="Payment_Date">DATE(YEAR(Loan_Start),MONTH([0]!Loan_Start)+Payment_Number,DAY([0]!Loan_Start))</definedName>
    <definedName name="PersCashEntry">'Asset Detail'!$G$8</definedName>
    <definedName name="PersCashTot">'Asset Detail'!$H$9</definedName>
    <definedName name="PersLAPEntry">'Liability Detail'!$D$8</definedName>
    <definedName name="PersLAPTot">'Liability Detail'!$E$9</definedName>
    <definedName name="PersLCCEntry">'Liability Detail'!$D$12</definedName>
    <definedName name="PersLCCTot">'Liability Detail'!$E$13</definedName>
    <definedName name="PersLifeInsEntry">'Asset Detail'!$G$28</definedName>
    <definedName name="PersLifeInsTot">'Asset Detail'!$H$29</definedName>
    <definedName name="PersLoanEntry">'Asset Detail'!$G$16</definedName>
    <definedName name="PersLoanRTot">'Asset Detail'!$H$17</definedName>
    <definedName name="PersLOthEntry">'Liability Detail'!$D$20</definedName>
    <definedName name="PersLOthTot">'Liability Detail'!$E$21</definedName>
    <definedName name="PersLTaxesEntry">'Liability Detail'!$D$16</definedName>
    <definedName name="PersLTaxesTot">'Liability Detail'!$E$17</definedName>
    <definedName name="PersOthEntry">'Asset Detail'!$G$40</definedName>
    <definedName name="PersOthTot">'Asset Detail'!$H$41</definedName>
    <definedName name="PersPropEntry">'Asset Detail'!$G$20</definedName>
    <definedName name="PersPropTot">'Asset Detail'!$H$21</definedName>
    <definedName name="PersREEntry">'Asset Detail'!$G$32</definedName>
    <definedName name="PersRetireEntry">PersRetire[Retirement Accounts]</definedName>
    <definedName name="PersRetireTot">'Asset Detail'!$H$37</definedName>
    <definedName name="PersRETot">'Asset Detail'!$H$33</definedName>
    <definedName name="PersStockEntry">'Asset Detail'!$G$12</definedName>
    <definedName name="PersStockTot">'Asset Detail'!$H$13</definedName>
    <definedName name="PersVehEntry">'Asset Detail'!$G$24</definedName>
    <definedName name="PersVehicleTot">'Asset Detail'!$H$25</definedName>
    <definedName name="PictGo">"Picture 3"</definedName>
    <definedName name="Picture">INDIRECT(Inputs!$D$27)</definedName>
    <definedName name="_xlnm.Print_Area" localSheetId="2">'Bal Sheet Entry'!$B$1:$D$88</definedName>
    <definedName name="_xlnm.Print_Area" localSheetId="1">'Final Balance Sheet'!$B$1:$G$56</definedName>
    <definedName name="_xlnm.Print_Area" localSheetId="7">'Monthly Cash Flow'!$B$3:$P$153</definedName>
    <definedName name="_xlnm.Print_Area" localSheetId="6">'P&amp;L-Annual Cash Flow'!$B$10:$L$124,'P&amp;L-Annual Cash Flow'!$B$126:$D$170</definedName>
    <definedName name="Print_Area_Reset">OFFSET(Full_Print,0,0,Last_Row)</definedName>
    <definedName name="_xlnm.Print_Titles" localSheetId="7">'Monthly Cash Flow'!$B:$D,'Monthly Cash Flow'!$3:$6</definedName>
    <definedName name="ProjPersonal">'Gen Info'!$K$24</definedName>
    <definedName name="ProjTime">'Gen Info'!$K$21</definedName>
    <definedName name="solver_eng" localSheetId="6" hidden="1">1</definedName>
    <definedName name="solver_neg" localSheetId="6" hidden="1">1</definedName>
    <definedName name="solver_num" localSheetId="6" hidden="1">0</definedName>
    <definedName name="solver_opt" localSheetId="6" hidden="1">'P&amp;L-Annual Cash Flow'!#REF!</definedName>
    <definedName name="solver_typ" localSheetId="6" hidden="1">1</definedName>
    <definedName name="solver_val" localSheetId="6" hidden="1">0</definedName>
    <definedName name="solver_ver" localSheetId="6" hidden="1">3</definedName>
    <definedName name="State">'Gen Info'!$K$14</definedName>
    <definedName name="Values_Entered">IF(Loan_Amount*Interest_Rate*Loan_Years*[0]!Loan_Start&gt;0,1,0)</definedName>
    <definedName name="Year">'Gen Info'!$K$17</definedName>
    <definedName name="Year1">'P&amp;L-Annual Cash Flow'!$C$18</definedName>
    <definedName name="Year2">'P&amp;L-Annual Cash Flow'!$D$18</definedName>
    <definedName name="Zip">'Gen Info'!$K$15</definedName>
  </definedNames>
  <calcPr calcId="152511"/>
  <extLst>
    <ext xmlns:x15="http://schemas.microsoft.com/office/spreadsheetml/2010/11/main" uri="{FCE2AD5D-F65C-4FA6-A056-5C36A1767C68}">
      <x15:dataModel>
        <x15:modelTables>
          <x15:modelTable id="TabAPHideDM-da191ae9-3a0f-4f1a-b7b9-c5ec56a45cca" name="TabAPHideDM" connection="WorksheetConnection_FishBiz Financials.xlsx!TabAPHideDM"/>
          <x15:modelTable id="TabMPHideDM-58a7b315-f1a3-4b28-a146-6979409ffb18" name="TabMPHideDM" connection="WorksheetConnection_FishBiz Financials.xlsx!TabMPHideDM"/>
        </x15:modelTables>
        <x15:modelRelationships>
          <x15:modelRelationship fromTable="TabAPHideDM" fromColumn="Column1" toTable="TabMPHideDM" toColumn="Column1"/>
        </x15:modelRelationships>
      </x15:dataModel>
    </ext>
  </extLst>
</workbook>
</file>

<file path=xl/calcChain.xml><?xml version="1.0" encoding="utf-8"?>
<calcChain xmlns="http://schemas.openxmlformats.org/spreadsheetml/2006/main">
  <c r="D140" i="8" l="1"/>
  <c r="D141" i="8"/>
  <c r="D89" i="8" l="1"/>
  <c r="D163" i="2"/>
  <c r="D162" i="2"/>
  <c r="D104" i="2"/>
  <c r="C20" i="13" l="1"/>
  <c r="K19" i="10"/>
  <c r="C81" i="2"/>
  <c r="C83" i="2" s="1"/>
  <c r="R1" i="2"/>
  <c r="Q1" i="2"/>
  <c r="C22" i="2"/>
  <c r="C21" i="2"/>
  <c r="P66" i="8"/>
  <c r="P68" i="8" s="1"/>
  <c r="O66" i="8"/>
  <c r="N66" i="8"/>
  <c r="N68" i="8" s="1"/>
  <c r="M66" i="8"/>
  <c r="M68" i="8" s="1"/>
  <c r="L66" i="8"/>
  <c r="L68" i="8" s="1"/>
  <c r="K66" i="8"/>
  <c r="J66" i="8"/>
  <c r="J68" i="8" s="1"/>
  <c r="I66" i="8"/>
  <c r="I68" i="8" s="1"/>
  <c r="H66" i="8"/>
  <c r="G66" i="8"/>
  <c r="F66" i="8"/>
  <c r="F68" i="8" s="1"/>
  <c r="E66" i="8"/>
  <c r="E68" i="8" s="1"/>
  <c r="D103" i="8"/>
  <c r="P14" i="8"/>
  <c r="O14" i="8"/>
  <c r="O17" i="8" s="1"/>
  <c r="N14" i="8"/>
  <c r="M14" i="8"/>
  <c r="L14" i="8"/>
  <c r="K14" i="8"/>
  <c r="K17" i="8" s="1"/>
  <c r="J14" i="8"/>
  <c r="I14" i="8"/>
  <c r="H14" i="8"/>
  <c r="G14" i="8"/>
  <c r="F14" i="8"/>
  <c r="P13" i="8"/>
  <c r="O13" i="8"/>
  <c r="N13" i="8"/>
  <c r="M13" i="8"/>
  <c r="L13" i="8"/>
  <c r="K13" i="8"/>
  <c r="J13" i="8"/>
  <c r="I13" i="8"/>
  <c r="H13" i="8"/>
  <c r="G13" i="8"/>
  <c r="F13" i="8"/>
  <c r="E14" i="8"/>
  <c r="E13" i="8"/>
  <c r="D53" i="8"/>
  <c r="D54" i="8"/>
  <c r="D55" i="8"/>
  <c r="B5" i="8"/>
  <c r="B16" i="2"/>
  <c r="B132" i="2" s="1"/>
  <c r="A2" i="5"/>
  <c r="A2" i="4"/>
  <c r="B2" i="7"/>
  <c r="M6" i="12"/>
  <c r="D3" i="11"/>
  <c r="B1" i="2"/>
  <c r="K24" i="10"/>
  <c r="K21" i="10"/>
  <c r="C19" i="13"/>
  <c r="E86" i="2"/>
  <c r="D124" i="8"/>
  <c r="D125" i="8"/>
  <c r="D126" i="8"/>
  <c r="D127" i="8"/>
  <c r="D128" i="8"/>
  <c r="D129" i="8"/>
  <c r="D130" i="8"/>
  <c r="D131" i="8"/>
  <c r="D132" i="8"/>
  <c r="D133" i="8"/>
  <c r="D134" i="8"/>
  <c r="D135" i="8"/>
  <c r="D136" i="8"/>
  <c r="D137" i="8"/>
  <c r="D100" i="8"/>
  <c r="D101" i="8"/>
  <c r="D50" i="8"/>
  <c r="D51" i="8"/>
  <c r="D18" i="2"/>
  <c r="E117" i="8"/>
  <c r="D6" i="8"/>
  <c r="D142" i="8"/>
  <c r="D114" i="8"/>
  <c r="D65" i="8"/>
  <c r="D12" i="8"/>
  <c r="C18" i="2"/>
  <c r="M71" i="2" s="1"/>
  <c r="D102" i="8"/>
  <c r="D99" i="8"/>
  <c r="P144" i="8"/>
  <c r="O144" i="8"/>
  <c r="N144" i="8"/>
  <c r="M144" i="8"/>
  <c r="L144" i="8"/>
  <c r="K144" i="8"/>
  <c r="J144" i="8"/>
  <c r="I144" i="8"/>
  <c r="H144" i="8"/>
  <c r="G144" i="8"/>
  <c r="F144" i="8"/>
  <c r="E144" i="8"/>
  <c r="D143" i="8"/>
  <c r="D139" i="8"/>
  <c r="D138" i="8"/>
  <c r="D123" i="8"/>
  <c r="D122" i="8"/>
  <c r="D121" i="8"/>
  <c r="D120" i="8"/>
  <c r="P117" i="8"/>
  <c r="O117" i="8"/>
  <c r="N117" i="8"/>
  <c r="M117" i="8"/>
  <c r="L117" i="8"/>
  <c r="K117" i="8"/>
  <c r="J117" i="8"/>
  <c r="I117" i="8"/>
  <c r="H117" i="8"/>
  <c r="G117" i="8"/>
  <c r="F117" i="8"/>
  <c r="D116" i="8"/>
  <c r="D115" i="8"/>
  <c r="D113" i="8"/>
  <c r="P92" i="8"/>
  <c r="O92" i="8"/>
  <c r="N92" i="8"/>
  <c r="M92" i="8"/>
  <c r="L92" i="8"/>
  <c r="K92" i="8"/>
  <c r="J92" i="8"/>
  <c r="I92" i="8"/>
  <c r="H92" i="8"/>
  <c r="G92" i="8"/>
  <c r="F92" i="8"/>
  <c r="E92" i="8"/>
  <c r="D91" i="8"/>
  <c r="D90" i="8"/>
  <c r="D88" i="8"/>
  <c r="D87" i="8"/>
  <c r="D86" i="8"/>
  <c r="D85" i="8"/>
  <c r="D84" i="8"/>
  <c r="P81" i="8"/>
  <c r="O81" i="8"/>
  <c r="N81" i="8"/>
  <c r="M81" i="8"/>
  <c r="L81" i="8"/>
  <c r="K81" i="8"/>
  <c r="J81" i="8"/>
  <c r="I81" i="8"/>
  <c r="H81" i="8"/>
  <c r="G81" i="8"/>
  <c r="F81" i="8"/>
  <c r="E81" i="8"/>
  <c r="D80" i="8"/>
  <c r="D79" i="8"/>
  <c r="D78" i="8"/>
  <c r="D77" i="8"/>
  <c r="D76" i="8"/>
  <c r="D75" i="8"/>
  <c r="D74" i="8"/>
  <c r="D73" i="8"/>
  <c r="D72" i="8"/>
  <c r="D71" i="8"/>
  <c r="O68" i="8"/>
  <c r="K68" i="8"/>
  <c r="G68" i="8"/>
  <c r="D67" i="8"/>
  <c r="D64" i="8"/>
  <c r="M5" i="12"/>
  <c r="E7" i="12"/>
  <c r="D29" i="7" s="1"/>
  <c r="G11" i="11" s="1"/>
  <c r="B7" i="12"/>
  <c r="B43" i="12"/>
  <c r="B37" i="12"/>
  <c r="B31" i="12"/>
  <c r="B25" i="12"/>
  <c r="B19" i="12"/>
  <c r="B13" i="12"/>
  <c r="D9" i="5"/>
  <c r="D13" i="5"/>
  <c r="D17" i="5"/>
  <c r="D21" i="5"/>
  <c r="A25" i="5"/>
  <c r="A21" i="5"/>
  <c r="A17" i="5"/>
  <c r="A13" i="5"/>
  <c r="A9" i="5"/>
  <c r="G41" i="4"/>
  <c r="G37" i="4"/>
  <c r="D33" i="4"/>
  <c r="G33" i="4"/>
  <c r="D29" i="4"/>
  <c r="G29" i="4"/>
  <c r="D25" i="4"/>
  <c r="G25" i="4"/>
  <c r="D21" i="4"/>
  <c r="G21" i="4"/>
  <c r="D17" i="4"/>
  <c r="G17" i="4"/>
  <c r="D13" i="4"/>
  <c r="G13" i="4"/>
  <c r="G9" i="4"/>
  <c r="D9" i="4"/>
  <c r="A30" i="4"/>
  <c r="A26" i="4"/>
  <c r="A22" i="4"/>
  <c r="A18" i="4"/>
  <c r="A14" i="4"/>
  <c r="A10" i="4"/>
  <c r="J12" i="12"/>
  <c r="I12" i="12"/>
  <c r="M42" i="12"/>
  <c r="K42" i="12"/>
  <c r="L42" i="12" s="1"/>
  <c r="J42" i="12"/>
  <c r="I42" i="12"/>
  <c r="J41" i="12"/>
  <c r="I41" i="12"/>
  <c r="I36" i="12"/>
  <c r="J36" i="12"/>
  <c r="K36" i="12"/>
  <c r="L36" i="12" s="1"/>
  <c r="M36" i="12"/>
  <c r="I30" i="12"/>
  <c r="J30" i="12"/>
  <c r="K30" i="12"/>
  <c r="L30" i="12" s="1"/>
  <c r="M30" i="12"/>
  <c r="I24" i="12"/>
  <c r="J24" i="12"/>
  <c r="K24" i="12"/>
  <c r="L24" i="12" s="1"/>
  <c r="M24" i="12"/>
  <c r="I18" i="12"/>
  <c r="J18" i="12"/>
  <c r="K18" i="12"/>
  <c r="L18" i="12" s="1"/>
  <c r="M18" i="12"/>
  <c r="J35" i="12"/>
  <c r="J29" i="12"/>
  <c r="I29" i="12"/>
  <c r="J23" i="12"/>
  <c r="J17" i="12"/>
  <c r="I17" i="12"/>
  <c r="K12" i="12"/>
  <c r="L12" i="12" s="1"/>
  <c r="M12" i="12"/>
  <c r="K41" i="12"/>
  <c r="L41" i="12" s="1"/>
  <c r="M41" i="12" s="1"/>
  <c r="I23" i="12"/>
  <c r="I35" i="12"/>
  <c r="K35" i="12"/>
  <c r="L35" i="12" s="1"/>
  <c r="M35" i="12"/>
  <c r="K29" i="12"/>
  <c r="L29" i="12" s="1"/>
  <c r="K17" i="12"/>
  <c r="L17" i="12" s="1"/>
  <c r="J11" i="12"/>
  <c r="M23" i="12"/>
  <c r="K23" i="12"/>
  <c r="L23" i="12" s="1"/>
  <c r="L25" i="12" s="1"/>
  <c r="M29" i="12"/>
  <c r="M17" i="12"/>
  <c r="I11" i="12"/>
  <c r="K11" i="12"/>
  <c r="L11" i="12" s="1"/>
  <c r="M11" i="12"/>
  <c r="E21" i="5"/>
  <c r="C71" i="7" s="1"/>
  <c r="E17" i="5"/>
  <c r="E13" i="5"/>
  <c r="C68" i="7" s="1"/>
  <c r="E9" i="5"/>
  <c r="C66" i="7" s="1"/>
  <c r="B25" i="5"/>
  <c r="C38" i="7" s="1"/>
  <c r="B21" i="5"/>
  <c r="C31" i="7" s="1"/>
  <c r="B17" i="5"/>
  <c r="B13" i="5"/>
  <c r="C27" i="7" s="1"/>
  <c r="B9" i="5"/>
  <c r="C26" i="7" s="1"/>
  <c r="C69" i="7"/>
  <c r="C28" i="7"/>
  <c r="H17" i="4"/>
  <c r="C56" i="7" s="1"/>
  <c r="H13" i="4"/>
  <c r="C55" i="7" s="1"/>
  <c r="B30" i="4"/>
  <c r="C12" i="7" s="1"/>
  <c r="B26" i="4"/>
  <c r="C11" i="7" s="1"/>
  <c r="B22" i="4"/>
  <c r="C10" i="7" s="1"/>
  <c r="B18" i="4"/>
  <c r="B14" i="4"/>
  <c r="B10" i="4"/>
  <c r="C7" i="7" s="1"/>
  <c r="E33" i="4"/>
  <c r="C21" i="7" s="1"/>
  <c r="E29" i="4"/>
  <c r="C20" i="7" s="1"/>
  <c r="E25" i="4"/>
  <c r="E21" i="4"/>
  <c r="C18" i="7" s="1"/>
  <c r="E17" i="4"/>
  <c r="C17" i="7" s="1"/>
  <c r="E13" i="4"/>
  <c r="C16" i="7" s="1"/>
  <c r="E9" i="4"/>
  <c r="C15" i="7" s="1"/>
  <c r="H9" i="4"/>
  <c r="C54" i="7" s="1"/>
  <c r="H41" i="4"/>
  <c r="C62" i="7" s="1"/>
  <c r="H37" i="4"/>
  <c r="C60" i="7" s="1"/>
  <c r="H33" i="4"/>
  <c r="C61" i="7" s="1"/>
  <c r="H29" i="4"/>
  <c r="C59" i="7" s="1"/>
  <c r="H25" i="4"/>
  <c r="C58" i="7" s="1"/>
  <c r="H21" i="4"/>
  <c r="C57" i="7" s="1"/>
  <c r="C19" i="7"/>
  <c r="C9" i="7"/>
  <c r="C8" i="7"/>
  <c r="K8" i="10"/>
  <c r="C3" i="7" s="1"/>
  <c r="G52" i="11"/>
  <c r="C58" i="2"/>
  <c r="C52" i="11"/>
  <c r="C139" i="2"/>
  <c r="C114" i="2"/>
  <c r="C107" i="2"/>
  <c r="C96" i="2"/>
  <c r="C166" i="2"/>
  <c r="D39" i="8"/>
  <c r="D38" i="8"/>
  <c r="D16" i="8"/>
  <c r="D15" i="8"/>
  <c r="P30" i="8"/>
  <c r="P43" i="8"/>
  <c r="O30" i="8"/>
  <c r="O43" i="8"/>
  <c r="N30" i="8"/>
  <c r="N43" i="8"/>
  <c r="M30" i="8"/>
  <c r="M43" i="8"/>
  <c r="L30" i="8"/>
  <c r="L43" i="8"/>
  <c r="K30" i="8"/>
  <c r="K43" i="8"/>
  <c r="J30" i="8"/>
  <c r="J43" i="8"/>
  <c r="I30" i="8"/>
  <c r="I43" i="8"/>
  <c r="I44" i="8" s="1"/>
  <c r="H30" i="8"/>
  <c r="H43" i="8"/>
  <c r="H44" i="8" s="1"/>
  <c r="G17" i="8"/>
  <c r="G30" i="8"/>
  <c r="G43" i="8"/>
  <c r="F30" i="8"/>
  <c r="F43" i="8"/>
  <c r="E30" i="8"/>
  <c r="E43" i="8"/>
  <c r="D52" i="8"/>
  <c r="D11" i="8"/>
  <c r="D49" i="8"/>
  <c r="D34" i="8"/>
  <c r="D35" i="8"/>
  <c r="D36" i="8"/>
  <c r="D37" i="8"/>
  <c r="D40" i="8"/>
  <c r="D41" i="8"/>
  <c r="D42" i="8"/>
  <c r="D33" i="8"/>
  <c r="D21" i="8"/>
  <c r="D22" i="8"/>
  <c r="D23" i="8"/>
  <c r="D24" i="8"/>
  <c r="D25" i="8"/>
  <c r="D26" i="8"/>
  <c r="D27" i="8"/>
  <c r="D28" i="8"/>
  <c r="D29" i="8"/>
  <c r="D20" i="8"/>
  <c r="C51" i="2"/>
  <c r="C38" i="2"/>
  <c r="D119" i="2"/>
  <c r="D148" i="2"/>
  <c r="D138" i="2"/>
  <c r="D116" i="2"/>
  <c r="D7" i="7"/>
  <c r="D18" i="7"/>
  <c r="D16" i="7"/>
  <c r="D27" i="7"/>
  <c r="D28" i="2"/>
  <c r="D42" i="2"/>
  <c r="D19" i="2"/>
  <c r="D144" i="2"/>
  <c r="D149" i="2"/>
  <c r="D31" i="7"/>
  <c r="D43" i="2"/>
  <c r="D33" i="2"/>
  <c r="D17" i="7"/>
  <c r="D94" i="2"/>
  <c r="D8" i="7"/>
  <c r="D45" i="2"/>
  <c r="D66" i="7"/>
  <c r="D82" i="2"/>
  <c r="D158" i="2"/>
  <c r="D64" i="2"/>
  <c r="D56" i="7"/>
  <c r="D19" i="7"/>
  <c r="D59" i="7"/>
  <c r="D115" i="2"/>
  <c r="D26" i="7"/>
  <c r="D156" i="2"/>
  <c r="D61" i="2"/>
  <c r="D91" i="2"/>
  <c r="D9" i="7"/>
  <c r="D89" i="2"/>
  <c r="D58" i="7"/>
  <c r="D63" i="2"/>
  <c r="D103" i="2"/>
  <c r="D147" i="2"/>
  <c r="D62" i="2"/>
  <c r="D101" i="2"/>
  <c r="D161" i="2"/>
  <c r="D151" i="2"/>
  <c r="D31" i="2"/>
  <c r="D57" i="7"/>
  <c r="D69" i="7"/>
  <c r="D20" i="7"/>
  <c r="D28" i="7"/>
  <c r="D46" i="2"/>
  <c r="D93" i="2"/>
  <c r="D50" i="2"/>
  <c r="D54" i="7"/>
  <c r="D88" i="2"/>
  <c r="D34" i="2"/>
  <c r="D143" i="2"/>
  <c r="D48" i="2"/>
  <c r="D159" i="2"/>
  <c r="D154" i="2"/>
  <c r="D155" i="2"/>
  <c r="D38" i="7"/>
  <c r="D35" i="2"/>
  <c r="D23" i="2"/>
  <c r="D15" i="7"/>
  <c r="D59" i="2"/>
  <c r="D150" i="2"/>
  <c r="D30" i="2"/>
  <c r="D24" i="2"/>
  <c r="D137" i="2"/>
  <c r="D20" i="2"/>
  <c r="D164" i="2"/>
  <c r="D145" i="2"/>
  <c r="D136" i="2"/>
  <c r="D152" i="2"/>
  <c r="D32" i="2"/>
  <c r="D71" i="7"/>
  <c r="D106" i="2"/>
  <c r="D41" i="2"/>
  <c r="D165" i="2"/>
  <c r="D36" i="2"/>
  <c r="D60" i="7"/>
  <c r="D117" i="2"/>
  <c r="D10" i="7"/>
  <c r="D92" i="2"/>
  <c r="D29" i="2"/>
  <c r="D146" i="2"/>
  <c r="D21" i="7"/>
  <c r="D60" i="2"/>
  <c r="D99" i="2"/>
  <c r="D68" i="7"/>
  <c r="D87" i="2"/>
  <c r="D65" i="2"/>
  <c r="D102" i="2"/>
  <c r="D62" i="7"/>
  <c r="D86" i="2"/>
  <c r="D61" i="7"/>
  <c r="D142" i="2"/>
  <c r="D47" i="2"/>
  <c r="D55" i="7"/>
  <c r="D79" i="2"/>
  <c r="D118" i="2"/>
  <c r="D157" i="2"/>
  <c r="D95" i="2"/>
  <c r="D135" i="2"/>
  <c r="D80" i="2"/>
  <c r="D100" i="2"/>
  <c r="D160" i="2"/>
  <c r="D153" i="2"/>
  <c r="D44" i="2"/>
  <c r="D49" i="2"/>
  <c r="D37" i="2"/>
  <c r="D12" i="7"/>
  <c r="D90" i="2"/>
  <c r="D11" i="7"/>
  <c r="D105" i="2"/>
  <c r="E44" i="8" l="1"/>
  <c r="B76" i="2"/>
  <c r="C57" i="2"/>
  <c r="Q5" i="2"/>
  <c r="E107" i="2"/>
  <c r="P44" i="8"/>
  <c r="J94" i="8"/>
  <c r="N94" i="8"/>
  <c r="N96" i="8" s="1"/>
  <c r="C168" i="2"/>
  <c r="H94" i="8"/>
  <c r="L94" i="8"/>
  <c r="L105" i="8" s="1"/>
  <c r="P94" i="8"/>
  <c r="P96" i="8" s="1"/>
  <c r="M94" i="2"/>
  <c r="H17" i="8"/>
  <c r="H46" i="8" s="1"/>
  <c r="L17" i="8"/>
  <c r="P17" i="8"/>
  <c r="P46" i="8" s="1"/>
  <c r="I94" i="8"/>
  <c r="C78" i="2"/>
  <c r="N44" i="8"/>
  <c r="M13" i="12"/>
  <c r="D34" i="7" s="1"/>
  <c r="G17" i="11" s="1"/>
  <c r="J17" i="8"/>
  <c r="N17" i="8"/>
  <c r="C25" i="2"/>
  <c r="M44" i="8"/>
  <c r="I147" i="8"/>
  <c r="F147" i="8"/>
  <c r="F149" i="8" s="1"/>
  <c r="D43" i="8"/>
  <c r="K44" i="8"/>
  <c r="K46" i="8" s="1"/>
  <c r="D168" i="2"/>
  <c r="D78" i="2"/>
  <c r="F44" i="8"/>
  <c r="D134" i="2"/>
  <c r="F94" i="8"/>
  <c r="M19" i="12"/>
  <c r="D35" i="7" s="1"/>
  <c r="G18" i="11" s="1"/>
  <c r="M37" i="12"/>
  <c r="M43" i="12"/>
  <c r="F105" i="8"/>
  <c r="K94" i="8"/>
  <c r="K105" i="8" s="1"/>
  <c r="O94" i="8"/>
  <c r="O96" i="8" s="1"/>
  <c r="M147" i="8"/>
  <c r="F17" i="8"/>
  <c r="F46" i="8" s="1"/>
  <c r="G44" i="8"/>
  <c r="G46" i="8" s="1"/>
  <c r="J44" i="8"/>
  <c r="J57" i="8" s="1"/>
  <c r="L44" i="8"/>
  <c r="L57" i="8" s="1"/>
  <c r="C134" i="2"/>
  <c r="M31" i="12"/>
  <c r="D37" i="7" s="1"/>
  <c r="G20" i="11" s="1"/>
  <c r="L37" i="12"/>
  <c r="L43" i="12"/>
  <c r="E94" i="8"/>
  <c r="E96" i="8" s="1"/>
  <c r="M94" i="8"/>
  <c r="M96" i="8" s="1"/>
  <c r="E147" i="8"/>
  <c r="E149" i="8" s="1"/>
  <c r="R5" i="2"/>
  <c r="N105" i="8"/>
  <c r="J46" i="8"/>
  <c r="I105" i="8"/>
  <c r="I96" i="8"/>
  <c r="C109" i="2"/>
  <c r="F96" i="8"/>
  <c r="N147" i="8"/>
  <c r="C53" i="2"/>
  <c r="B3" i="4"/>
  <c r="E112" i="2"/>
  <c r="M95" i="2"/>
  <c r="M92" i="2"/>
  <c r="M17" i="8"/>
  <c r="J96" i="8"/>
  <c r="C111" i="2"/>
  <c r="E111" i="2" s="1"/>
  <c r="J147" i="8"/>
  <c r="D30" i="8"/>
  <c r="C113" i="2"/>
  <c r="D117" i="8"/>
  <c r="G147" i="8"/>
  <c r="K147" i="8"/>
  <c r="O147" i="8"/>
  <c r="H147" i="8"/>
  <c r="L147" i="8"/>
  <c r="P147" i="8"/>
  <c r="M90" i="2"/>
  <c r="B3" i="5"/>
  <c r="F4" i="11"/>
  <c r="C17" i="11"/>
  <c r="D22" i="7"/>
  <c r="D42" i="7" s="1"/>
  <c r="D21" i="2"/>
  <c r="C8" i="11"/>
  <c r="D13" i="7"/>
  <c r="C48" i="11"/>
  <c r="D58" i="2"/>
  <c r="C49" i="11"/>
  <c r="D114" i="2"/>
  <c r="C13" i="11"/>
  <c r="G13" i="11"/>
  <c r="D38" i="2"/>
  <c r="D51" i="2"/>
  <c r="G9" i="11"/>
  <c r="G43" i="11"/>
  <c r="C12" i="11"/>
  <c r="C11" i="11"/>
  <c r="G44" i="11"/>
  <c r="D139" i="2"/>
  <c r="C43" i="11"/>
  <c r="C10" i="11"/>
  <c r="C44" i="11"/>
  <c r="C23" i="11"/>
  <c r="C21" i="11"/>
  <c r="C42" i="11"/>
  <c r="D81" i="2"/>
  <c r="D113" i="2" s="1"/>
  <c r="G41" i="11"/>
  <c r="C47" i="11"/>
  <c r="C9" i="11"/>
  <c r="C22" i="11"/>
  <c r="G10" i="11"/>
  <c r="C18" i="11"/>
  <c r="C20" i="11"/>
  <c r="D32" i="7"/>
  <c r="G8" i="11"/>
  <c r="D22" i="2"/>
  <c r="D96" i="2"/>
  <c r="D107" i="2"/>
  <c r="F107" i="2" s="1"/>
  <c r="D166" i="2"/>
  <c r="G46" i="11"/>
  <c r="C45" i="11"/>
  <c r="D63" i="7"/>
  <c r="C41" i="11"/>
  <c r="C46" i="11"/>
  <c r="C19" i="11"/>
  <c r="G21" i="11"/>
  <c r="O105" i="8"/>
  <c r="O44" i="8"/>
  <c r="M25" i="12"/>
  <c r="D36" i="7" s="1"/>
  <c r="G19" i="11" s="1"/>
  <c r="L31" i="12"/>
  <c r="D144" i="8"/>
  <c r="D13" i="8"/>
  <c r="E17" i="8"/>
  <c r="I17" i="8"/>
  <c r="D14" i="8"/>
  <c r="H68" i="8"/>
  <c r="D66" i="8"/>
  <c r="D68" i="8" s="1"/>
  <c r="L96" i="8"/>
  <c r="D81" i="8"/>
  <c r="G94" i="8"/>
  <c r="B70" i="2"/>
  <c r="D27" i="13"/>
  <c r="K25" i="10"/>
  <c r="B126" i="2"/>
  <c r="B10" i="2"/>
  <c r="E83" i="2"/>
  <c r="M85" i="2"/>
  <c r="M91" i="2"/>
  <c r="S2" i="2"/>
  <c r="E91" i="2"/>
  <c r="M87" i="2"/>
  <c r="E87" i="2"/>
  <c r="M93" i="2"/>
  <c r="S5" i="2"/>
  <c r="E88" i="2"/>
  <c r="F96" i="2"/>
  <c r="E96" i="2"/>
  <c r="E92" i="2"/>
  <c r="M89" i="2"/>
  <c r="E90" i="2"/>
  <c r="E95" i="2"/>
  <c r="M88" i="2"/>
  <c r="E94" i="2"/>
  <c r="E89" i="2"/>
  <c r="E93" i="2"/>
  <c r="M86" i="2"/>
  <c r="L13" i="12"/>
  <c r="L19" i="12"/>
  <c r="D92" i="8"/>
  <c r="K22" i="10"/>
  <c r="J105" i="8"/>
  <c r="M45" i="2"/>
  <c r="P57" i="8" l="1"/>
  <c r="H57" i="8"/>
  <c r="L46" i="8"/>
  <c r="E105" i="8"/>
  <c r="E107" i="8" s="1"/>
  <c r="F107" i="8" s="1"/>
  <c r="P105" i="8"/>
  <c r="P151" i="8" s="1"/>
  <c r="N46" i="8"/>
  <c r="F57" i="8"/>
  <c r="F151" i="8" s="1"/>
  <c r="C55" i="2"/>
  <c r="E55" i="2" s="1"/>
  <c r="N57" i="8"/>
  <c r="N151" i="8" s="1"/>
  <c r="D67" i="7"/>
  <c r="G42" i="11" s="1"/>
  <c r="D94" i="8"/>
  <c r="D105" i="8" s="1"/>
  <c r="D70" i="7"/>
  <c r="D72" i="7" s="1"/>
  <c r="D74" i="7" s="1"/>
  <c r="G57" i="8"/>
  <c r="K96" i="8"/>
  <c r="M105" i="8"/>
  <c r="J151" i="8"/>
  <c r="L151" i="8"/>
  <c r="K57" i="8"/>
  <c r="K151" i="8" s="1"/>
  <c r="D25" i="2"/>
  <c r="D53" i="2"/>
  <c r="G24" i="11"/>
  <c r="G28" i="11" s="1"/>
  <c r="L1" i="12"/>
  <c r="D30" i="7" s="1"/>
  <c r="G12" i="11" s="1"/>
  <c r="C121" i="2"/>
  <c r="M46" i="8"/>
  <c r="M57" i="8"/>
  <c r="D147" i="8"/>
  <c r="D39" i="7"/>
  <c r="D46" i="7" s="1"/>
  <c r="G149" i="8"/>
  <c r="H149" i="8" s="1"/>
  <c r="I149" i="8" s="1"/>
  <c r="J149" i="8" s="1"/>
  <c r="K149" i="8" s="1"/>
  <c r="L149" i="8" s="1"/>
  <c r="M149" i="8" s="1"/>
  <c r="N149" i="8" s="1"/>
  <c r="O149" i="8" s="1"/>
  <c r="P149" i="8" s="1"/>
  <c r="C50" i="11"/>
  <c r="C53" i="11" s="1"/>
  <c r="C54" i="11" s="1"/>
  <c r="G14" i="11"/>
  <c r="C37" i="11" s="1"/>
  <c r="D83" i="2"/>
  <c r="D111" i="2" s="1"/>
  <c r="C24" i="11"/>
  <c r="C28" i="11" s="1"/>
  <c r="D109" i="2"/>
  <c r="E9" i="8"/>
  <c r="C14" i="11"/>
  <c r="C27" i="11" s="1"/>
  <c r="G96" i="8"/>
  <c r="G105" i="8"/>
  <c r="I57" i="8"/>
  <c r="I151" i="8" s="1"/>
  <c r="I46" i="8"/>
  <c r="D57" i="2"/>
  <c r="O46" i="8"/>
  <c r="O57" i="8"/>
  <c r="O151" i="8" s="1"/>
  <c r="F83" i="2"/>
  <c r="E57" i="8"/>
  <c r="E46" i="8"/>
  <c r="H105" i="8"/>
  <c r="H151" i="8" s="1"/>
  <c r="H96" i="8"/>
  <c r="D17" i="8"/>
  <c r="D44" i="8"/>
  <c r="D45" i="7"/>
  <c r="D82" i="7"/>
  <c r="D41" i="7"/>
  <c r="D43" i="7" s="1"/>
  <c r="D84" i="7"/>
  <c r="C67" i="2" l="1"/>
  <c r="D47" i="7"/>
  <c r="G151" i="8"/>
  <c r="D96" i="8"/>
  <c r="D55" i="2"/>
  <c r="D67" i="2" s="1"/>
  <c r="G45" i="11"/>
  <c r="G47" i="11" s="1"/>
  <c r="G53" i="11" s="1"/>
  <c r="G54" i="11" s="1"/>
  <c r="D55" i="11" s="1"/>
  <c r="M151" i="8"/>
  <c r="C169" i="2"/>
  <c r="C1" i="2" s="1"/>
  <c r="G27" i="11"/>
  <c r="G29" i="11" s="1"/>
  <c r="D33" i="11" s="1"/>
  <c r="G107" i="8"/>
  <c r="H107" i="8" s="1"/>
  <c r="I107" i="8" s="1"/>
  <c r="J107" i="8" s="1"/>
  <c r="K107" i="8" s="1"/>
  <c r="L107" i="8" s="1"/>
  <c r="M107" i="8" s="1"/>
  <c r="N107" i="8" s="1"/>
  <c r="O107" i="8" s="1"/>
  <c r="P107" i="8" s="1"/>
  <c r="D57" i="8"/>
  <c r="D151" i="8" s="1"/>
  <c r="D46" i="8"/>
  <c r="F55" i="2"/>
  <c r="E151" i="8"/>
  <c r="E59" i="8"/>
  <c r="C29" i="11"/>
  <c r="C38" i="11"/>
  <c r="D86" i="7"/>
  <c r="D49" i="7"/>
  <c r="F111" i="2"/>
  <c r="D121" i="2"/>
  <c r="G50" i="11" l="1"/>
  <c r="D169" i="2"/>
  <c r="D1" i="2" s="1"/>
  <c r="D77" i="7"/>
  <c r="D88" i="7"/>
  <c r="F59" i="8"/>
  <c r="E153" i="8"/>
  <c r="D32" i="11"/>
  <c r="D34" i="11" s="1"/>
  <c r="F37" i="11"/>
  <c r="G59" i="8" l="1"/>
  <c r="F153" i="8"/>
  <c r="F38" i="11"/>
  <c r="G153" i="8" l="1"/>
  <c r="H59" i="8"/>
  <c r="I59" i="8" l="1"/>
  <c r="H153" i="8"/>
  <c r="J59" i="8" l="1"/>
  <c r="I153" i="8"/>
  <c r="K59" i="8" l="1"/>
  <c r="J153" i="8"/>
  <c r="L59" i="8" l="1"/>
  <c r="K153" i="8"/>
  <c r="M59" i="8" l="1"/>
  <c r="L153" i="8"/>
  <c r="M153" i="8" l="1"/>
  <c r="N59" i="8"/>
  <c r="N153" i="8" l="1"/>
  <c r="O59" i="8"/>
  <c r="O153" i="8" l="1"/>
  <c r="P59" i="8"/>
  <c r="P153" i="8" s="1"/>
</calcChain>
</file>

<file path=xl/connections.xml><?xml version="1.0" encoding="utf-8"?>
<connections xmlns="http://schemas.openxmlformats.org/spreadsheetml/2006/main">
  <connection id="1" keepAlive="1" name="ThisWorkbookDataModel" description="Data Model" type="5" refreshedVersion="5"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name="WorksheetConnection_FishBiz Financials.xlsx!TabAPHideDM" type="102" refreshedVersion="5" minRefreshableVersion="5">
    <extLst>
      <ext xmlns:x15="http://schemas.microsoft.com/office/spreadsheetml/2010/11/main" uri="{DE250136-89BD-433C-8126-D09CA5730AF9}">
        <x15:connection id="TabAPHideDM-da191ae9-3a0f-4f1a-b7b9-c5ec56a45cca">
          <x15:rangePr sourceName="_xlcn.WorksheetConnection_FishBizFinancials.xlsxTabAPHideDM1"/>
        </x15:connection>
      </ext>
    </extLst>
  </connection>
  <connection id="3" name="WorksheetConnection_FishBiz Financials.xlsx!TabMPHideDM" type="102" refreshedVersion="5" minRefreshableVersion="5">
    <extLst>
      <ext xmlns:x15="http://schemas.microsoft.com/office/spreadsheetml/2010/11/main" uri="{DE250136-89BD-433C-8126-D09CA5730AF9}">
        <x15:connection id="TabMPHideDM-58a7b315-f1a3-4b28-a146-6979409ffb18">
          <x15:rangePr sourceName="_xlcn.WorksheetConnection_FishBizFinancials.xlsxTabMPHideDM1"/>
        </x15:connection>
      </ext>
    </extLst>
  </connection>
</connections>
</file>

<file path=xl/sharedStrings.xml><?xml version="1.0" encoding="utf-8"?>
<sst xmlns="http://schemas.openxmlformats.org/spreadsheetml/2006/main" count="764" uniqueCount="338">
  <si>
    <t>Provisions</t>
  </si>
  <si>
    <t>Other</t>
  </si>
  <si>
    <t>Gain on Sale of Vessel or Equipment</t>
  </si>
  <si>
    <t>Current Value</t>
  </si>
  <si>
    <t>Other Fishing Equipment and Gear</t>
  </si>
  <si>
    <t>Due from Processors</t>
  </si>
  <si>
    <t>Business Real Estate</t>
  </si>
  <si>
    <t>Port &amp; Harbor Costs</t>
  </si>
  <si>
    <t>Cash Value of Life Insurance</t>
  </si>
  <si>
    <t>Current</t>
  </si>
  <si>
    <t>Vessel &amp; Equipment Loans</t>
  </si>
  <si>
    <t>Bait &amp; Ice</t>
  </si>
  <si>
    <t>Crew Insurance</t>
  </si>
  <si>
    <t>Vessel Insurance</t>
  </si>
  <si>
    <t>Vessel / Equipment Lease Income</t>
  </si>
  <si>
    <t>Child Support / Alimony</t>
  </si>
  <si>
    <t>Other Purchases</t>
  </si>
  <si>
    <t>Fair Market Value</t>
  </si>
  <si>
    <t>May</t>
  </si>
  <si>
    <t>Jan</t>
  </si>
  <si>
    <t>Feb</t>
  </si>
  <si>
    <t>Mar</t>
  </si>
  <si>
    <t>Apr</t>
  </si>
  <si>
    <t>Jun</t>
  </si>
  <si>
    <t>Jul</t>
  </si>
  <si>
    <t>Aug</t>
  </si>
  <si>
    <t>Sep</t>
  </si>
  <si>
    <t>Oct</t>
  </si>
  <si>
    <t>Nov</t>
  </si>
  <si>
    <t>Dec</t>
  </si>
  <si>
    <t>Total</t>
  </si>
  <si>
    <t>Wages &amp; Salaries</t>
  </si>
  <si>
    <t xml:space="preserve">Interest &amp; Investment Dividend Income </t>
  </si>
  <si>
    <t xml:space="preserve">Other Payments </t>
  </si>
  <si>
    <t>Current Fishing Assets</t>
  </si>
  <si>
    <t>Business Vehicles</t>
  </si>
  <si>
    <t>Business Credit Card Debt</t>
  </si>
  <si>
    <t>Business Vehicle Loans</t>
  </si>
  <si>
    <t>Total Fishing Assets</t>
  </si>
  <si>
    <t>Total Fishing Liabilities</t>
  </si>
  <si>
    <t>Personal Real Estate</t>
  </si>
  <si>
    <t>Personal Vehicles</t>
  </si>
  <si>
    <t>Personal Credit Card Debt</t>
  </si>
  <si>
    <t>Personal Taxes Payable</t>
  </si>
  <si>
    <t>Other Current Fishing Assets</t>
  </si>
  <si>
    <t>Cash Value of Life Insurance Policies</t>
  </si>
  <si>
    <t>Other Current Fishing Liabilities</t>
  </si>
  <si>
    <t>Other Personal Liabilities</t>
  </si>
  <si>
    <t>NOAA Capital Construction Fund Balance</t>
  </si>
  <si>
    <t>Transferable Permits/Quota</t>
  </si>
  <si>
    <t>Other Business Accounts Receivable</t>
  </si>
  <si>
    <t>Pre-paid Expenses</t>
  </si>
  <si>
    <t>Business Loans Receivable</t>
  </si>
  <si>
    <t>Cash in Business Accounts</t>
  </si>
  <si>
    <t xml:space="preserve">Vessels </t>
  </si>
  <si>
    <t>Taxes &amp; Assessments Payable</t>
  </si>
  <si>
    <t>Accounts Payable</t>
  </si>
  <si>
    <t>Short Term Loans</t>
  </si>
  <si>
    <t>Current Portion of Long-term Loans</t>
  </si>
  <si>
    <t>Permit &amp; Quota Loans</t>
  </si>
  <si>
    <t>Business Real Estate Loans</t>
  </si>
  <si>
    <t>Non-Current</t>
  </si>
  <si>
    <t>Personal Assets &amp; Liabilities</t>
  </si>
  <si>
    <t>Fishing Business Net Worth</t>
  </si>
  <si>
    <t>Total Current Fishing Assets</t>
  </si>
  <si>
    <t>Cash in Personal Accounts</t>
  </si>
  <si>
    <t>Loans Receivable</t>
  </si>
  <si>
    <t>Retirement Accounts</t>
  </si>
  <si>
    <t>Stocks &amp; Bonds</t>
  </si>
  <si>
    <t>Personal Property</t>
  </si>
  <si>
    <t>Personal Liabilities</t>
  </si>
  <si>
    <t xml:space="preserve"> Accounts Payable</t>
  </si>
  <si>
    <t xml:space="preserve"> Loans</t>
  </si>
  <si>
    <t xml:space="preserve"> Credit Card Debt</t>
  </si>
  <si>
    <t xml:space="preserve">  Taxes Payable</t>
  </si>
  <si>
    <t xml:space="preserve"> Real Estate Loans</t>
  </si>
  <si>
    <t>Total Personal Assets</t>
  </si>
  <si>
    <t>Total Personal Liabilities</t>
  </si>
  <si>
    <t>Personal Net Worth</t>
  </si>
  <si>
    <t>TOTAL NET WORTH</t>
  </si>
  <si>
    <t>Ratio Analysis</t>
  </si>
  <si>
    <t>Debt-to-Equity (Fishing Business)</t>
  </si>
  <si>
    <t>Debt-to-Assets (Fishing Business)</t>
  </si>
  <si>
    <t>Working Capital ((Fishing Business)</t>
  </si>
  <si>
    <t>Current Ratio (Fishing Business)</t>
  </si>
  <si>
    <t xml:space="preserve">Permit &amp; Quota Costs                                                   </t>
  </si>
  <si>
    <t>Crew Shares Paid</t>
  </si>
  <si>
    <t>Crew Share Earned</t>
  </si>
  <si>
    <t>Gain on Sale of Permits or Quota</t>
  </si>
  <si>
    <t>Fuel, Lubricants, etc</t>
  </si>
  <si>
    <t>Gear</t>
  </si>
  <si>
    <t>Misc. Operating Costs</t>
  </si>
  <si>
    <t xml:space="preserve">Taxes, Fees &amp; Assessments                                  </t>
  </si>
  <si>
    <t>Professional Fees</t>
  </si>
  <si>
    <r>
      <t>Misc. Fixed Costs</t>
    </r>
    <r>
      <rPr>
        <i/>
        <sz val="8"/>
        <rFont val="Arial"/>
        <family val="2"/>
        <charset val="204"/>
      </rPr>
      <t/>
    </r>
  </si>
  <si>
    <t>Utilities</t>
  </si>
  <si>
    <t>Insurance</t>
  </si>
  <si>
    <t>NET CASH FLOWS (all sources)</t>
  </si>
  <si>
    <t>Mortgage / Rent</t>
  </si>
  <si>
    <t>Loan &amp; Credit Card Payments</t>
  </si>
  <si>
    <t>Bank Account</t>
  </si>
  <si>
    <t>Year</t>
  </si>
  <si>
    <t>Look Back</t>
  </si>
  <si>
    <t>Look Forward</t>
  </si>
  <si>
    <t>Permits or Quota Amortization</t>
  </si>
  <si>
    <t>Labor</t>
  </si>
  <si>
    <t>Packaging</t>
  </si>
  <si>
    <t>Shipping</t>
  </si>
  <si>
    <t>Promotion &amp; Advertising</t>
  </si>
  <si>
    <t>Licenses / Permits</t>
  </si>
  <si>
    <t>Vehicle Expense</t>
  </si>
  <si>
    <t>Name</t>
  </si>
  <si>
    <t>How do you sell your fish?</t>
  </si>
  <si>
    <t>Both</t>
  </si>
  <si>
    <t>Boat / Company Name</t>
  </si>
  <si>
    <t>City</t>
  </si>
  <si>
    <t>State / Province</t>
  </si>
  <si>
    <t>Address</t>
  </si>
  <si>
    <t>Zip / Postal Code</t>
  </si>
  <si>
    <t>Property Taxes</t>
  </si>
  <si>
    <t>Vessel, Equipment &amp; Gear Depreciation</t>
  </si>
  <si>
    <t>Shore Facility Rent / Mortgage</t>
  </si>
  <si>
    <t>Cold Storage Fees</t>
  </si>
  <si>
    <t>Misc Direct Mkt Fixed Costs</t>
  </si>
  <si>
    <t>Misc Direct Mkt Variable Costs</t>
  </si>
  <si>
    <t>Other Direct Mkt Variable Costs</t>
  </si>
  <si>
    <t>Other Direct Mkt Fixed Costs</t>
  </si>
  <si>
    <t>Processing Supplies</t>
  </si>
  <si>
    <t>Sub-Total Direct Marketing Variable Costs</t>
  </si>
  <si>
    <t>Sub-Total Direct Marketing Fixed Costs</t>
  </si>
  <si>
    <t>Direct Market Seafood Sales</t>
  </si>
  <si>
    <t>Branded Materials, Tours, Etc</t>
  </si>
  <si>
    <t>Gain on Sale of Shore Facilities / Equipment</t>
  </si>
  <si>
    <t>Depreciation - Shore Facilities &amp; Equipment</t>
  </si>
  <si>
    <t>TOTAL DIRECT MARKETING COSTS</t>
  </si>
  <si>
    <t>TOTAL FISHING COSTS</t>
  </si>
  <si>
    <t>- Gain on Sale of Shore Facilities / Equipment</t>
  </si>
  <si>
    <t>+ Depreciation - Shore Facilities &amp; Equipment</t>
  </si>
  <si>
    <t>- Principal Payments on Shore Facilities &amp; Equipment</t>
  </si>
  <si>
    <t>+ Proceeds on Sale of Shore Facilities / Equipment</t>
  </si>
  <si>
    <t>DIRECT MARKETING INCOME &amp; COSTS</t>
  </si>
  <si>
    <t>FISHING INCOME &amp; COSTS</t>
  </si>
  <si>
    <t>Fishing Income</t>
  </si>
  <si>
    <t>Variable Fishing Costs</t>
  </si>
  <si>
    <t>Fixed Fishing Costs</t>
  </si>
  <si>
    <t>Direct Marketing Income</t>
  </si>
  <si>
    <t>Direct Marketing Variable Costs</t>
  </si>
  <si>
    <t>Direct Marketing Fixed Costs</t>
  </si>
  <si>
    <t>Total Non-Current Fishing Assets</t>
  </si>
  <si>
    <t>Fish Sales to Processors</t>
  </si>
  <si>
    <t>Repairs &amp; Maintenance</t>
  </si>
  <si>
    <t>Quota &amp; Permit Sales (+)</t>
  </si>
  <si>
    <t>Vessel, Equipment &amp; Gear Sales (+)</t>
  </si>
  <si>
    <t>Pmt Due in 12 months</t>
  </si>
  <si>
    <t>Vessel, Equip, Gear Depr &amp; Permits / Quota Amort (+)</t>
  </si>
  <si>
    <t>Gain on Sales Vessel, Equip, Gear, Quota &amp; Permit (-)</t>
  </si>
  <si>
    <t>Interest on Loans</t>
  </si>
  <si>
    <t>Principal Payments on Business Loans (-)</t>
  </si>
  <si>
    <t>Purchased Finished Product</t>
  </si>
  <si>
    <t>Date</t>
  </si>
  <si>
    <t>Date Prepared</t>
  </si>
  <si>
    <t>Value</t>
  </si>
  <si>
    <t>Market Value</t>
  </si>
  <si>
    <t>Total Current Fishing Liabilities</t>
  </si>
  <si>
    <t>Total Non-Current Fishing Liabilities</t>
  </si>
  <si>
    <t>NOAA Capital Construction Fund Bal</t>
  </si>
  <si>
    <t>Balance</t>
  </si>
  <si>
    <t>Fishing Liabilities</t>
  </si>
  <si>
    <t>Personal Assets</t>
  </si>
  <si>
    <t>Fishing Business Ratio Analysis</t>
  </si>
  <si>
    <t>Current Ratio</t>
  </si>
  <si>
    <t>Working Capital</t>
  </si>
  <si>
    <t>Debt-to-Assets</t>
  </si>
  <si>
    <t>Debt-to-Equity</t>
  </si>
  <si>
    <t>Total Assets</t>
  </si>
  <si>
    <t>Total Liabilities</t>
  </si>
  <si>
    <t>Balance Sheet</t>
  </si>
  <si>
    <t>Date Prepared:</t>
  </si>
  <si>
    <t>BALANCE SHEET DATA ENTRY</t>
  </si>
  <si>
    <r>
      <t>Non-Current Fishing Assets</t>
    </r>
    <r>
      <rPr>
        <b/>
        <i/>
        <sz val="9"/>
        <rFont val="Arial"/>
        <family val="2"/>
        <charset val="204"/>
      </rPr>
      <t xml:space="preserve"> (Note: Use Appraised or Survey Values.)</t>
    </r>
  </si>
  <si>
    <t>Vessels</t>
  </si>
  <si>
    <t>Prepared On:</t>
  </si>
  <si>
    <t>Detailed Assets</t>
  </si>
  <si>
    <t>Savings</t>
  </si>
  <si>
    <t>Other Personal (Non-Fishing) Assets</t>
  </si>
  <si>
    <r>
      <t xml:space="preserve">Loans Receivable </t>
    </r>
    <r>
      <rPr>
        <b/>
        <i/>
        <sz val="8"/>
        <rFont val="Arial"/>
        <family val="2"/>
        <charset val="204"/>
      </rPr>
      <t>(personal loans)</t>
    </r>
  </si>
  <si>
    <t>Other Non-Current Fishing Liabilities</t>
  </si>
  <si>
    <t>Personal Accounts Payable</t>
  </si>
  <si>
    <t>Lender</t>
  </si>
  <si>
    <t>Description</t>
  </si>
  <si>
    <t>Interest Rate</t>
  </si>
  <si>
    <t>Annual P&amp;I Payment</t>
  </si>
  <si>
    <t>Prin Due in 12 Months</t>
  </si>
  <si>
    <t>Remaining Balance</t>
  </si>
  <si>
    <t>First Year</t>
  </si>
  <si>
    <t>Payment Frequency</t>
  </si>
  <si>
    <t>Loan Frequency</t>
  </si>
  <si>
    <t>Monthly</t>
  </si>
  <si>
    <t>Quarterly</t>
  </si>
  <si>
    <t>Number Pmts</t>
  </si>
  <si>
    <t>Semi-Annual</t>
  </si>
  <si>
    <t>Years Left</t>
  </si>
  <si>
    <t>Annual</t>
  </si>
  <si>
    <t>Other  Non-Current Fishing Assets</t>
  </si>
  <si>
    <t>Transferable Permits &amp; Quota</t>
  </si>
  <si>
    <t>Months</t>
  </si>
  <si>
    <t>#Pmts</t>
  </si>
  <si>
    <t>Total Prin Due in 12 months</t>
  </si>
  <si>
    <t>Personal Loans</t>
  </si>
  <si>
    <t>Detailed Loan Information</t>
  </si>
  <si>
    <t>Personal Real Estate Loans</t>
  </si>
  <si>
    <t>Other Business Accounts Receivables</t>
  </si>
  <si>
    <r>
      <t xml:space="preserve">Cash </t>
    </r>
    <r>
      <rPr>
        <b/>
        <i/>
        <sz val="8"/>
        <rFont val="Arial"/>
        <family val="2"/>
        <charset val="204"/>
      </rPr>
      <t>(cash, business checking &amp; savings accounts)</t>
    </r>
  </si>
  <si>
    <t>Other Personal Assets</t>
  </si>
  <si>
    <t>Current (Operating) Loans</t>
  </si>
  <si>
    <t>Column3</t>
  </si>
  <si>
    <t>Column22</t>
  </si>
  <si>
    <t>Principal Balance</t>
  </si>
  <si>
    <t>Month Due</t>
  </si>
  <si>
    <t>Current Principal Bal</t>
  </si>
  <si>
    <t>Annual Operating</t>
  </si>
  <si>
    <t>Month Borrowed</t>
  </si>
  <si>
    <t>Fish</t>
  </si>
  <si>
    <t>Direct MKT</t>
  </si>
  <si>
    <r>
      <t xml:space="preserve">Accounts Payable </t>
    </r>
    <r>
      <rPr>
        <b/>
        <i/>
        <sz val="8"/>
        <rFont val="Arial"/>
        <family val="2"/>
        <charset val="204"/>
      </rPr>
      <t>(processor,suppliers, etc.)</t>
    </r>
  </si>
  <si>
    <t>Detail</t>
  </si>
  <si>
    <t>This is the print version of your balance sheet.  Hit Ctrl P to print</t>
  </si>
  <si>
    <t>Direct to processor</t>
  </si>
  <si>
    <t>Direct to consumer</t>
  </si>
  <si>
    <t>Marketing</t>
  </si>
  <si>
    <t>Monthly Cash Flow Plan</t>
  </si>
  <si>
    <t>Principal Payments (sum from Loans)</t>
  </si>
  <si>
    <t>Vessel, Equipment &amp; Gear Sales</t>
  </si>
  <si>
    <t>Quota &amp; Permit Sales</t>
  </si>
  <si>
    <t>Total Direct Marketing Income</t>
  </si>
  <si>
    <t>Total Fishing Income</t>
  </si>
  <si>
    <t>ADDITIONAL FISHING INFORMATION</t>
  </si>
  <si>
    <t>ADDITIONAL DIRECT MARKETING INFORMATION</t>
  </si>
  <si>
    <t>Shore Equipment Sales</t>
  </si>
  <si>
    <t>Total Fishing Costs</t>
  </si>
  <si>
    <t>NET INCOME FROM FISHING</t>
  </si>
  <si>
    <t>NET CASH FLOW FROM FISHING</t>
  </si>
  <si>
    <t>Sub-Total Fishing Variable Costs</t>
  </si>
  <si>
    <t>Sub-Total Fishing Fixed Costs</t>
  </si>
  <si>
    <t>NET INCOME FROM DIRECT MARKETING</t>
  </si>
  <si>
    <t>NET CASH FLOW FROM DIRECT MARKETING</t>
  </si>
  <si>
    <t>NET CASH FLOW FROM PERSONAL</t>
  </si>
  <si>
    <t>CUMULATIVE CASH BALANCE FROM PERSONAL</t>
  </si>
  <si>
    <t>CUMULATIVE CASH BALANCE FROM DIRECT MARKETING</t>
  </si>
  <si>
    <t>CUMULATIVE CASH BALANCE FROM FISHING</t>
  </si>
  <si>
    <t>Include Direct Marketing Income &amp; Costs</t>
  </si>
  <si>
    <t>Do Not Include Direct Marketing Income &amp; Costs</t>
  </si>
  <si>
    <t>Do you want to examine direct marketing income &amp; costs?</t>
  </si>
  <si>
    <t>Column1</t>
  </si>
  <si>
    <t>Year Examined</t>
  </si>
  <si>
    <t>Year:</t>
  </si>
  <si>
    <t>CUMULATIVE CASH BALANCE FROM ALL SOURCES</t>
  </si>
  <si>
    <t>NET CASH FLOW FROM ALL SOURCES</t>
  </si>
  <si>
    <t>Sale of Investments</t>
  </si>
  <si>
    <t>Interest &amp; Investment Dividend Income</t>
  </si>
  <si>
    <t>New Credit</t>
  </si>
  <si>
    <t>Capital Purchases</t>
  </si>
  <si>
    <t>+ Direct Marketing New Credit</t>
  </si>
  <si>
    <t>- Purchases of Shore Facilities / Equipment</t>
  </si>
  <si>
    <t>PERSONAL INFLOWS &amp; OUTFLOWS</t>
  </si>
  <si>
    <t>Personal Inflows</t>
  </si>
  <si>
    <t>Personal &amp; Living Outflows</t>
  </si>
  <si>
    <t>Education</t>
  </si>
  <si>
    <t>Personal Property Insurance</t>
  </si>
  <si>
    <t>Cash Donations / Gifts</t>
  </si>
  <si>
    <t>Life Insurance</t>
  </si>
  <si>
    <t>Total Personal Inflows</t>
  </si>
  <si>
    <t>Total Personal &amp; Living Outflows</t>
  </si>
  <si>
    <t>Food and Meals</t>
  </si>
  <si>
    <t xml:space="preserve">Medical </t>
  </si>
  <si>
    <t>Health Insurance</t>
  </si>
  <si>
    <t>Household Supplies</t>
  </si>
  <si>
    <t>Clothing</t>
  </si>
  <si>
    <t>Personal Care</t>
  </si>
  <si>
    <t>Child / Dependent Care</t>
  </si>
  <si>
    <t>Recreation</t>
  </si>
  <si>
    <t>Personal Vehicle Operating</t>
  </si>
  <si>
    <t>Taxes - Real Estate</t>
  </si>
  <si>
    <t>Taxes - Income</t>
  </si>
  <si>
    <t>Disability / Long Term Care Insurance</t>
  </si>
  <si>
    <t>New Credit (+)</t>
  </si>
  <si>
    <t>Capital Purchases (-)</t>
  </si>
  <si>
    <t>Just Business Income and Expenses</t>
  </si>
  <si>
    <t>Column2</t>
  </si>
  <si>
    <t>Both Business and Personal</t>
  </si>
  <si>
    <t>Do you want to project a 
monthly cash flow plan or 
the annual plan?</t>
  </si>
  <si>
    <t>Do you want to project both business and personal 
income and expenses?</t>
  </si>
  <si>
    <t>Total Fishing &amp; Business Assets</t>
  </si>
  <si>
    <t>Total Fishing &amp; Business Liabilities</t>
  </si>
  <si>
    <t>Fishing &amp; Business Net Worth</t>
  </si>
  <si>
    <t>Fishing &amp; Business Assets</t>
  </si>
  <si>
    <t>Current Fishing &amp; Business Assets</t>
  </si>
  <si>
    <t xml:space="preserve">If any box is blue, that means there has been detail entered for that category.  Please click on the orange arrow button to go to the detail entry to either delete the entry or edit the entry.
To use that entry in your balance sheet, click on the gray drop down arrow &amp; click on the value that appears.  </t>
  </si>
  <si>
    <t>Non-Current &amp; Fishing Assets</t>
  </si>
  <si>
    <t>Other Fishing Equipment &amp; Gear</t>
  </si>
  <si>
    <t>Fishing &amp; Business Liabilities</t>
  </si>
  <si>
    <t>Current Fishing &amp; Business Liabilities</t>
  </si>
  <si>
    <t>Non-Current Fishing &amp; Business Liabilities</t>
  </si>
  <si>
    <t>*To add a new line to any section, hit the tab button on your keyboard</t>
  </si>
  <si>
    <t>Liabilities Detail</t>
  </si>
  <si>
    <t>If a box is gray, you cannot edit that entry on this screen.  Please click on the "Go to detail"           
button to enter the loan detail for that section there.  Your entries will flow through to this page.</t>
  </si>
  <si>
    <t>Fishing &amp; Bus. Assets</t>
  </si>
  <si>
    <t>Fishing &amp;Bus. Liabilities</t>
  </si>
  <si>
    <t>Current Assets</t>
  </si>
  <si>
    <t>Current Liabilities</t>
  </si>
  <si>
    <t>Non-Current Liabilities</t>
  </si>
  <si>
    <t>Non-Current Assets</t>
  </si>
  <si>
    <t>Total Current Assets</t>
  </si>
  <si>
    <t>Total Current Liabilities</t>
  </si>
  <si>
    <t>Total Non-Current Liabilities</t>
  </si>
  <si>
    <t>Total Non-Current Assets</t>
  </si>
  <si>
    <t>Total Fishing &amp; Bus. Assets</t>
  </si>
  <si>
    <t>Total Fishing &amp; Bus. Liabilities</t>
  </si>
  <si>
    <t>- Total Fishing &amp; Bus. Liabilities</t>
  </si>
  <si>
    <r>
      <t xml:space="preserve">Copyright </t>
    </r>
    <r>
      <rPr>
        <sz val="9"/>
        <rFont val="Calibri"/>
        <family val="2"/>
      </rPr>
      <t>©</t>
    </r>
    <r>
      <rPr>
        <sz val="9"/>
        <rFont val="Arial"/>
        <family val="2"/>
      </rPr>
      <t>2015 Regents of the University of Minnesota.  All rights reserved.</t>
    </r>
  </si>
  <si>
    <t>Go to online help video</t>
  </si>
  <si>
    <t>Balance Sheet Value Vessel, Equip, Gear Sold</t>
  </si>
  <si>
    <t>Balance Sheet Value Quota &amp; Permits Sold</t>
  </si>
  <si>
    <t>Balance Sheet Value Shore Equipment Sold</t>
  </si>
  <si>
    <t>(Non-Cash) Balance Sheet Value Equipment Sold</t>
  </si>
  <si>
    <t>(Non-Cash) Balance Sheet Value Quota &amp; Permits Sold</t>
  </si>
  <si>
    <t>(Non-Cash) Balance Sheet Value Shore Equipment Sold</t>
  </si>
  <si>
    <t>Fishing Net Income</t>
  </si>
  <si>
    <t>Direct Marketing Net Income</t>
  </si>
  <si>
    <t>Direct Mkt Income</t>
  </si>
  <si>
    <t>Variable Direct Mkt Costs</t>
  </si>
  <si>
    <t>Fixed Direct Mkt Costs</t>
  </si>
  <si>
    <t>Beg. Cash</t>
  </si>
  <si>
    <t>FishBizPlan Financial spreadsheets were made possible by funding form the National Oceanic and Atmospheric Administration (NOAA)
and from technical help from the Center for Farm Financial Management at the University of Minnesota.</t>
  </si>
  <si>
    <t>To Processor</t>
  </si>
  <si>
    <t>Personal Real Estate Loan (non-Mortgage)</t>
  </si>
  <si>
    <t>Other Personal Loan Payments</t>
  </si>
  <si>
    <t>Februry 21,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</si>
</sst>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5" formatCode="&quot;$&quot;#,##0_);\(&quot;$&quot;#,##0\)"/>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quot;$&quot;#,##0.00"/>
    <numFmt numFmtId="165" formatCode="[$-409]mmmm\ d\,\ yyyy;@"/>
    <numFmt numFmtId="166" formatCode="_(&quot;$&quot;* #,##0_);_(&quot;$&quot;* \(#,##0\);_(&quot;$&quot;* &quot;-&quot;??_);_(@_)"/>
    <numFmt numFmtId="167" formatCode="&quot;$&quot;#,##0"/>
    <numFmt numFmtId="168" formatCode="_(&quot;$&quot;\ #,##0_);_(&quot;$&quot;* \(#,##0\);_(&quot;$&quot;* &quot;-&quot;??_);_(@_)"/>
    <numFmt numFmtId="169" formatCode="0.0%"/>
  </numFmts>
  <fonts count="56" x14ac:knownFonts="1">
    <font>
      <sz val="10"/>
      <name val="Arial"/>
      <charset val="204"/>
    </font>
    <font>
      <sz val="10"/>
      <name val="Arial"/>
      <family val="2"/>
    </font>
    <font>
      <u/>
      <sz val="10"/>
      <color indexed="12"/>
      <name val="Arial"/>
      <family val="2"/>
    </font>
    <font>
      <b/>
      <i/>
      <sz val="12"/>
      <name val="Arial"/>
      <family val="2"/>
      <charset val="204"/>
    </font>
    <font>
      <sz val="10"/>
      <name val="Arial"/>
      <family val="2"/>
    </font>
    <font>
      <b/>
      <sz val="10"/>
      <name val="Arial"/>
      <family val="2"/>
    </font>
    <font>
      <b/>
      <i/>
      <sz val="14"/>
      <name val="Arial"/>
      <family val="2"/>
      <charset val="204"/>
    </font>
    <font>
      <b/>
      <i/>
      <sz val="10"/>
      <name val="Arial"/>
      <family val="2"/>
      <charset val="204"/>
    </font>
    <font>
      <u/>
      <sz val="10"/>
      <name val="Arial"/>
      <family val="2"/>
      <charset val="204"/>
    </font>
    <font>
      <b/>
      <sz val="12"/>
      <name val="Arial"/>
      <family val="2"/>
      <charset val="204"/>
    </font>
    <font>
      <b/>
      <i/>
      <sz val="8"/>
      <name val="Arial"/>
      <family val="2"/>
      <charset val="204"/>
    </font>
    <font>
      <sz val="8"/>
      <name val="Arial"/>
      <family val="2"/>
    </font>
    <font>
      <sz val="9"/>
      <name val="Arial"/>
      <family val="2"/>
      <charset val="204"/>
    </font>
    <font>
      <b/>
      <sz val="9"/>
      <name val="Arial"/>
      <family val="2"/>
      <charset val="204"/>
    </font>
    <font>
      <b/>
      <i/>
      <sz val="9"/>
      <name val="Arial"/>
      <family val="2"/>
      <charset val="204"/>
    </font>
    <font>
      <sz val="11"/>
      <name val="Arial"/>
      <family val="2"/>
      <charset val="204"/>
    </font>
    <font>
      <b/>
      <sz val="11"/>
      <name val="Arial"/>
      <family val="2"/>
      <charset val="204"/>
    </font>
    <font>
      <i/>
      <sz val="9"/>
      <name val="Arial"/>
      <family val="2"/>
      <charset val="204"/>
    </font>
    <font>
      <sz val="12"/>
      <name val="Arial"/>
      <family val="2"/>
      <charset val="204"/>
    </font>
    <font>
      <i/>
      <sz val="8"/>
      <name val="Arial"/>
      <family val="2"/>
      <charset val="204"/>
    </font>
    <font>
      <sz val="10"/>
      <name val="Arial"/>
      <family val="2"/>
    </font>
    <font>
      <b/>
      <i/>
      <sz val="12"/>
      <name val="Arial"/>
      <family val="2"/>
    </font>
    <font>
      <sz val="9"/>
      <name val="Arial"/>
      <family val="2"/>
    </font>
    <font>
      <b/>
      <sz val="12"/>
      <name val="Arial"/>
      <family val="2"/>
    </font>
    <font>
      <sz val="9"/>
      <name val="Times New Roman"/>
      <family val="1"/>
    </font>
    <font>
      <sz val="10"/>
      <name val="Arial"/>
      <family val="2"/>
    </font>
    <font>
      <b/>
      <sz val="11"/>
      <name val="Arial"/>
      <family val="2"/>
    </font>
    <font>
      <sz val="10"/>
      <name val="Arial"/>
      <family val="2"/>
      <charset val="204"/>
    </font>
    <font>
      <sz val="11"/>
      <name val="Arial"/>
      <family val="2"/>
    </font>
    <font>
      <b/>
      <sz val="10"/>
      <name val="Arial"/>
      <family val="2"/>
      <charset val="204"/>
    </font>
    <font>
      <u val="singleAccounting"/>
      <sz val="10"/>
      <name val="Arial"/>
      <family val="2"/>
    </font>
    <font>
      <b/>
      <sz val="9"/>
      <name val="Arial"/>
      <family val="2"/>
    </font>
    <font>
      <u/>
      <sz val="10"/>
      <name val="Arial"/>
      <family val="2"/>
    </font>
    <font>
      <b/>
      <sz val="9"/>
      <color theme="0"/>
      <name val="Arial"/>
      <family val="2"/>
      <charset val="204"/>
    </font>
    <font>
      <i/>
      <sz val="9"/>
      <color theme="1"/>
      <name val="Arial"/>
      <family val="2"/>
      <charset val="204"/>
    </font>
    <font>
      <sz val="10"/>
      <name val="Calibri"/>
      <family val="1"/>
      <scheme val="minor"/>
    </font>
    <font>
      <sz val="10"/>
      <name val="Arial"/>
      <family val="2"/>
    </font>
    <font>
      <sz val="11"/>
      <color theme="1"/>
      <name val="Agency FB"/>
      <family val="2"/>
    </font>
    <font>
      <sz val="11"/>
      <color rgb="FF3F3F76"/>
      <name val="Agency FB"/>
      <family val="2"/>
    </font>
    <font>
      <b/>
      <sz val="11"/>
      <color rgb="FFFA7D00"/>
      <name val="Agency FB"/>
      <family val="2"/>
    </font>
    <font>
      <sz val="10"/>
      <color theme="0" tint="-0.249977111117893"/>
      <name val="Arial"/>
      <family val="2"/>
    </font>
    <font>
      <sz val="10"/>
      <name val="Arial"/>
      <family val="2"/>
    </font>
    <font>
      <b/>
      <i/>
      <sz val="11"/>
      <name val="Arial"/>
      <family val="2"/>
    </font>
    <font>
      <b/>
      <i/>
      <sz val="10"/>
      <name val="Arial"/>
      <family val="2"/>
    </font>
    <font>
      <b/>
      <sz val="10"/>
      <color theme="0" tint="-0.249977111117893"/>
      <name val="Arial"/>
      <family val="2"/>
    </font>
    <font>
      <sz val="9"/>
      <color rgb="FF000000"/>
      <name val="Verdana"/>
      <family val="2"/>
    </font>
    <font>
      <b/>
      <u/>
      <sz val="10"/>
      <color theme="4"/>
      <name val="Arial"/>
      <family val="2"/>
    </font>
    <font>
      <b/>
      <sz val="12"/>
      <color theme="0"/>
      <name val="Arial"/>
      <family val="2"/>
      <charset val="204"/>
    </font>
    <font>
      <sz val="10"/>
      <color theme="0"/>
      <name val="Arial"/>
      <family val="2"/>
    </font>
    <font>
      <sz val="9"/>
      <color theme="0"/>
      <name val="Arial"/>
      <family val="2"/>
      <charset val="204"/>
    </font>
    <font>
      <sz val="11"/>
      <color theme="0"/>
      <name val="Arial"/>
      <family val="2"/>
      <charset val="204"/>
    </font>
    <font>
      <b/>
      <sz val="12"/>
      <color theme="0"/>
      <name val="Arial"/>
      <family val="2"/>
    </font>
    <font>
      <b/>
      <i/>
      <sz val="9"/>
      <name val="Arial"/>
      <family val="2"/>
    </font>
    <font>
      <b/>
      <sz val="9"/>
      <color theme="1"/>
      <name val="Arial"/>
      <family val="2"/>
    </font>
    <font>
      <b/>
      <sz val="12"/>
      <color theme="1"/>
      <name val="Arial"/>
      <family val="2"/>
    </font>
    <font>
      <sz val="9"/>
      <name val="Calibri"/>
      <family val="2"/>
    </font>
  </fonts>
  <fills count="13">
    <fill>
      <patternFill patternType="none"/>
    </fill>
    <fill>
      <patternFill patternType="gray125"/>
    </fill>
    <fill>
      <patternFill patternType="solid">
        <fgColor theme="2" tint="-9.9978637043366805E-2"/>
        <bgColor indexed="64"/>
      </patternFill>
    </fill>
    <fill>
      <patternFill patternType="solid">
        <fgColor theme="0" tint="-0.249977111117893"/>
        <bgColor indexed="64"/>
      </patternFill>
    </fill>
    <fill>
      <patternFill patternType="solid">
        <fgColor theme="4"/>
        <bgColor theme="4"/>
      </patternFill>
    </fill>
    <fill>
      <patternFill patternType="solid">
        <fgColor rgb="FFFFCC99"/>
      </patternFill>
    </fill>
    <fill>
      <patternFill patternType="solid">
        <fgColor rgb="FFF2F2F2"/>
      </patternFill>
    </fill>
    <fill>
      <patternFill patternType="solid">
        <fgColor theme="6" tint="0.79998168889431442"/>
        <bgColor theme="6" tint="0.79998168889431442"/>
      </patternFill>
    </fill>
    <fill>
      <patternFill patternType="solid">
        <fgColor rgb="FFFFFF00"/>
        <bgColor indexed="64"/>
      </patternFill>
    </fill>
    <fill>
      <patternFill patternType="solid">
        <fgColor rgb="FF00B1B0"/>
        <bgColor indexed="64"/>
      </patternFill>
    </fill>
    <fill>
      <patternFill patternType="solid">
        <fgColor rgb="FFF37321"/>
        <bgColor theme="4"/>
      </patternFill>
    </fill>
    <fill>
      <patternFill patternType="solid">
        <fgColor theme="0"/>
        <bgColor indexed="64"/>
      </patternFill>
    </fill>
    <fill>
      <patternFill patternType="solid">
        <fgColor rgb="FFE1DFDB"/>
        <bgColor indexed="64"/>
      </patternFill>
    </fill>
  </fills>
  <borders count="58">
    <border>
      <left/>
      <right/>
      <top/>
      <bottom/>
      <diagonal/>
    </border>
    <border>
      <left/>
      <right/>
      <top style="thin">
        <color indexed="64"/>
      </top>
      <bottom style="double">
        <color indexed="64"/>
      </bottom>
      <diagonal/>
    </border>
    <border>
      <left/>
      <right/>
      <top style="thin">
        <color indexed="64"/>
      </top>
      <bottom style="thin">
        <color indexed="64"/>
      </bottom>
      <diagonal/>
    </border>
    <border>
      <left style="medium">
        <color indexed="11"/>
      </left>
      <right style="medium">
        <color indexed="11"/>
      </right>
      <top style="medium">
        <color indexed="11"/>
      </top>
      <bottom style="medium">
        <color indexed="11"/>
      </bottom>
      <diagonal/>
    </border>
    <border>
      <left/>
      <right/>
      <top/>
      <bottom style="thin">
        <color indexed="64"/>
      </bottom>
      <diagonal/>
    </border>
    <border>
      <left/>
      <right/>
      <top style="thin">
        <color indexed="64"/>
      </top>
      <bottom/>
      <diagonal/>
    </border>
    <border>
      <left style="medium">
        <color indexed="11"/>
      </left>
      <right/>
      <top style="medium">
        <color indexed="11"/>
      </top>
      <bottom style="medium">
        <color indexed="1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style="double">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theme="0"/>
      </left>
      <right/>
      <top/>
      <bottom/>
      <diagonal/>
    </border>
    <border>
      <left/>
      <right/>
      <top style="thick">
        <color theme="0"/>
      </top>
      <bottom/>
      <diagonal/>
    </border>
    <border>
      <left style="thin">
        <color rgb="FF7F7F7F"/>
      </left>
      <right style="thin">
        <color rgb="FF7F7F7F"/>
      </right>
      <top style="thin">
        <color rgb="FF7F7F7F"/>
      </top>
      <bottom style="thin">
        <color rgb="FF7F7F7F"/>
      </bottom>
      <diagonal/>
    </border>
    <border>
      <left/>
      <right style="thin">
        <color theme="0"/>
      </right>
      <top/>
      <bottom style="thick">
        <color theme="0"/>
      </bottom>
      <diagonal/>
    </border>
    <border>
      <left style="thin">
        <color theme="0"/>
      </left>
      <right style="thin">
        <color theme="0"/>
      </right>
      <top/>
      <bottom style="thick">
        <color theme="0"/>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double">
        <color indexed="64"/>
      </bottom>
      <diagonal/>
    </border>
    <border>
      <left/>
      <right/>
      <top/>
      <bottom style="thin">
        <color theme="0"/>
      </bottom>
      <diagonal/>
    </border>
    <border>
      <left/>
      <right style="thin">
        <color indexed="64"/>
      </right>
      <top style="medium">
        <color indexed="11"/>
      </top>
      <bottom style="medium">
        <color indexed="11"/>
      </bottom>
      <diagonal/>
    </border>
    <border>
      <left/>
      <right style="thin">
        <color indexed="64"/>
      </right>
      <top/>
      <bottom style="double">
        <color indexed="64"/>
      </bottom>
      <diagonal/>
    </border>
    <border>
      <left style="thin">
        <color rgb="FFF37321"/>
      </left>
      <right style="thin">
        <color rgb="FFF37321"/>
      </right>
      <top style="thin">
        <color rgb="FFF37321"/>
      </top>
      <bottom style="thin">
        <color rgb="FFF37321"/>
      </bottom>
      <diagonal/>
    </border>
    <border>
      <left style="thin">
        <color rgb="FFF37321"/>
      </left>
      <right style="thin">
        <color rgb="FFF37321"/>
      </right>
      <top/>
      <bottom/>
      <diagonal/>
    </border>
    <border>
      <left style="thin">
        <color rgb="FFF37321"/>
      </left>
      <right style="thin">
        <color rgb="FFF37321"/>
      </right>
      <top/>
      <bottom style="thin">
        <color rgb="FFF37321"/>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bottom style="double">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s>
  <cellStyleXfs count="10">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applyNumberFormat="0" applyFill="0" applyBorder="0" applyAlignment="0" applyProtection="0">
      <alignment vertical="top"/>
      <protection locked="0"/>
    </xf>
    <xf numFmtId="9" fontId="25" fillId="0" borderId="0" applyFont="0" applyFill="0" applyBorder="0" applyAlignment="0" applyProtection="0"/>
    <xf numFmtId="0" fontId="35" fillId="0" borderId="0"/>
    <xf numFmtId="44" fontId="36" fillId="0" borderId="0" applyFont="0" applyFill="0" applyBorder="0" applyAlignment="0" applyProtection="0"/>
    <xf numFmtId="0" fontId="37" fillId="7" borderId="0" applyNumberFormat="0" applyBorder="0" applyAlignment="0" applyProtection="0"/>
    <xf numFmtId="0" fontId="38" fillId="5" borderId="19" applyNumberFormat="0" applyAlignment="0" applyProtection="0"/>
    <xf numFmtId="0" fontId="39" fillId="6" borderId="19" applyNumberFormat="0" applyAlignment="0" applyProtection="0"/>
  </cellStyleXfs>
  <cellXfs count="709">
    <xf numFmtId="0" fontId="0" fillId="0" borderId="0" xfId="0"/>
    <xf numFmtId="0" fontId="3" fillId="0" borderId="0" xfId="0" applyNumberFormat="1" applyFont="1" applyFill="1" applyBorder="1" applyAlignment="1" applyProtection="1"/>
    <xf numFmtId="164" fontId="4" fillId="0" borderId="0" xfId="0" applyNumberFormat="1" applyFont="1"/>
    <xf numFmtId="0" fontId="4" fillId="0" borderId="0" xfId="0" applyNumberFormat="1" applyFont="1" applyFill="1" applyBorder="1" applyAlignment="1" applyProtection="1"/>
    <xf numFmtId="0" fontId="6" fillId="0" borderId="0" xfId="0" applyNumberFormat="1" applyFont="1" applyFill="1" applyBorder="1" applyAlignment="1" applyProtection="1"/>
    <xf numFmtId="0" fontId="5" fillId="0" borderId="0" xfId="0" applyNumberFormat="1" applyFont="1" applyFill="1" applyBorder="1" applyAlignment="1" applyProtection="1">
      <alignment horizontal="left"/>
    </xf>
    <xf numFmtId="5" fontId="4" fillId="0" borderId="0" xfId="0" applyNumberFormat="1" applyFont="1" applyFill="1" applyBorder="1" applyAlignment="1" applyProtection="1"/>
    <xf numFmtId="0" fontId="4" fillId="0" borderId="0" xfId="0" applyNumberFormat="1" applyFont="1" applyFill="1" applyBorder="1" applyAlignment="1" applyProtection="1">
      <protection locked="0"/>
    </xf>
    <xf numFmtId="0" fontId="4" fillId="0" borderId="0" xfId="0" applyNumberFormat="1" applyFont="1" applyFill="1" applyBorder="1" applyAlignment="1" applyProtection="1">
      <alignment horizontal="right"/>
    </xf>
    <xf numFmtId="5" fontId="4" fillId="0" borderId="0" xfId="0" applyNumberFormat="1" applyFont="1" applyFill="1" applyBorder="1" applyAlignment="1" applyProtection="1">
      <protection locked="0"/>
    </xf>
    <xf numFmtId="5" fontId="5" fillId="0" borderId="0" xfId="0" applyNumberFormat="1" applyFont="1" applyFill="1" applyBorder="1" applyAlignment="1" applyProtection="1">
      <alignment horizontal="right"/>
    </xf>
    <xf numFmtId="0" fontId="9" fillId="0" borderId="0" xfId="0" applyNumberFormat="1" applyFont="1" applyFill="1" applyBorder="1" applyAlignment="1" applyProtection="1"/>
    <xf numFmtId="0" fontId="9" fillId="0" borderId="0" xfId="0" applyNumberFormat="1" applyFont="1" applyFill="1" applyBorder="1" applyAlignment="1" applyProtection="1">
      <protection locked="0"/>
    </xf>
    <xf numFmtId="0" fontId="5" fillId="0" borderId="0" xfId="0" applyNumberFormat="1" applyFont="1" applyFill="1" applyBorder="1" applyAlignment="1" applyProtection="1"/>
    <xf numFmtId="0" fontId="12" fillId="0" borderId="0" xfId="0" applyNumberFormat="1" applyFont="1" applyFill="1" applyBorder="1" applyAlignment="1" applyProtection="1"/>
    <xf numFmtId="0" fontId="12" fillId="0" borderId="0" xfId="0" applyFont="1"/>
    <xf numFmtId="0" fontId="12" fillId="0" borderId="0" xfId="0" applyFont="1" applyFill="1"/>
    <xf numFmtId="0" fontId="12" fillId="0" borderId="0" xfId="0" applyFont="1" applyProtection="1">
      <protection locked="0"/>
    </xf>
    <xf numFmtId="0" fontId="12" fillId="0" borderId="0" xfId="0" applyNumberFormat="1" applyFont="1" applyFill="1" applyBorder="1" applyAlignment="1" applyProtection="1">
      <protection locked="0"/>
    </xf>
    <xf numFmtId="0" fontId="13" fillId="0" borderId="0" xfId="0" applyNumberFormat="1" applyFont="1" applyFill="1" applyBorder="1" applyAlignment="1" applyProtection="1">
      <alignment horizontal="left"/>
    </xf>
    <xf numFmtId="0" fontId="12" fillId="0" borderId="0" xfId="0" applyFont="1" applyProtection="1"/>
    <xf numFmtId="5" fontId="12" fillId="0" borderId="0" xfId="0" applyNumberFormat="1" applyFont="1" applyFill="1" applyBorder="1" applyAlignment="1" applyProtection="1">
      <protection locked="0"/>
    </xf>
    <xf numFmtId="0" fontId="13" fillId="0" borderId="0" xfId="0" applyNumberFormat="1" applyFont="1" applyFill="1" applyBorder="1" applyAlignment="1" applyProtection="1">
      <alignment horizontal="right"/>
    </xf>
    <xf numFmtId="164" fontId="12" fillId="0" borderId="0" xfId="0" applyNumberFormat="1" applyFont="1" applyBorder="1"/>
    <xf numFmtId="0" fontId="12" fillId="0" borderId="0" xfId="0" applyNumberFormat="1" applyFont="1" applyFill="1" applyBorder="1" applyAlignment="1" applyProtection="1">
      <alignment horizontal="left"/>
    </xf>
    <xf numFmtId="164" fontId="3" fillId="0" borderId="0" xfId="0" applyNumberFormat="1" applyFont="1" applyAlignment="1">
      <alignment horizontal="left"/>
    </xf>
    <xf numFmtId="5" fontId="13" fillId="0" borderId="0" xfId="0" applyNumberFormat="1" applyFont="1" applyFill="1" applyBorder="1" applyAlignment="1" applyProtection="1">
      <alignment horizontal="left"/>
    </xf>
    <xf numFmtId="0" fontId="12" fillId="0" borderId="0" xfId="0" applyFont="1" applyFill="1" applyProtection="1">
      <protection locked="0"/>
    </xf>
    <xf numFmtId="5" fontId="12" fillId="0" borderId="0" xfId="0" applyNumberFormat="1" applyFont="1" applyFill="1" applyBorder="1" applyAlignment="1" applyProtection="1"/>
    <xf numFmtId="5" fontId="12" fillId="0" borderId="0" xfId="0" applyNumberFormat="1" applyFont="1" applyFill="1" applyBorder="1" applyAlignment="1" applyProtection="1">
      <alignment horizontal="right"/>
    </xf>
    <xf numFmtId="0" fontId="12" fillId="0" borderId="0" xfId="0" applyNumberFormat="1" applyFont="1" applyFill="1" applyBorder="1" applyAlignment="1" applyProtection="1">
      <alignment horizontal="right" wrapText="1"/>
    </xf>
    <xf numFmtId="0" fontId="13" fillId="0" borderId="0" xfId="0" applyNumberFormat="1" applyFont="1" applyFill="1" applyBorder="1" applyAlignment="1" applyProtection="1"/>
    <xf numFmtId="0" fontId="13" fillId="0" borderId="0" xfId="0" applyFont="1" applyBorder="1" applyAlignment="1">
      <alignment horizontal="center"/>
    </xf>
    <xf numFmtId="164" fontId="10" fillId="0" borderId="3" xfId="0" applyNumberFormat="1" applyFont="1" applyBorder="1" applyAlignment="1">
      <alignment horizontal="center"/>
    </xf>
    <xf numFmtId="43" fontId="12" fillId="0" borderId="0" xfId="1" applyFont="1" applyBorder="1" applyProtection="1">
      <protection locked="0"/>
    </xf>
    <xf numFmtId="0" fontId="10" fillId="0" borderId="0" xfId="0" applyNumberFormat="1" applyFont="1" applyFill="1" applyBorder="1" applyAlignment="1" applyProtection="1"/>
    <xf numFmtId="0" fontId="12" fillId="0" borderId="0" xfId="0" applyFont="1" applyBorder="1" applyProtection="1"/>
    <xf numFmtId="0" fontId="12" fillId="0" borderId="0" xfId="0" applyFont="1" applyBorder="1" applyProtection="1">
      <protection locked="0"/>
    </xf>
    <xf numFmtId="0" fontId="12" fillId="0" borderId="0" xfId="0" applyFont="1" applyFill="1" applyBorder="1" applyProtection="1">
      <protection locked="0"/>
    </xf>
    <xf numFmtId="0" fontId="17" fillId="0" borderId="0" xfId="0" applyNumberFormat="1" applyFont="1" applyFill="1" applyBorder="1" applyAlignment="1" applyProtection="1">
      <alignment horizontal="right"/>
    </xf>
    <xf numFmtId="5" fontId="17" fillId="0" borderId="0" xfId="0" applyNumberFormat="1" applyFont="1" applyFill="1" applyBorder="1" applyAlignment="1" applyProtection="1">
      <alignment horizontal="right"/>
    </xf>
    <xf numFmtId="0" fontId="18" fillId="0" borderId="0" xfId="0" applyNumberFormat="1" applyFont="1" applyFill="1" applyBorder="1" applyAlignment="1" applyProtection="1"/>
    <xf numFmtId="0" fontId="18" fillId="0" borderId="0" xfId="0" applyFont="1"/>
    <xf numFmtId="0" fontId="9" fillId="0" borderId="0" xfId="0" applyNumberFormat="1" applyFont="1" applyFill="1" applyBorder="1" applyAlignment="1" applyProtection="1">
      <alignment horizontal="left"/>
    </xf>
    <xf numFmtId="0" fontId="12" fillId="0" borderId="0" xfId="0" applyFont="1" applyFill="1" applyProtection="1"/>
    <xf numFmtId="0" fontId="13" fillId="0" borderId="0" xfId="0" applyFont="1" applyBorder="1" applyAlignment="1" applyProtection="1">
      <alignment horizontal="center"/>
    </xf>
    <xf numFmtId="164" fontId="12" fillId="0" borderId="0" xfId="0" applyNumberFormat="1" applyFont="1" applyBorder="1" applyProtection="1"/>
    <xf numFmtId="0" fontId="0" fillId="0" borderId="0" xfId="0" applyBorder="1" applyProtection="1"/>
    <xf numFmtId="44" fontId="13" fillId="0" borderId="0" xfId="2" applyFont="1" applyBorder="1" applyProtection="1"/>
    <xf numFmtId="43" fontId="12" fillId="0" borderId="0" xfId="1" applyFont="1" applyFill="1" applyBorder="1" applyProtection="1"/>
    <xf numFmtId="0" fontId="4" fillId="0" borderId="0" xfId="0" applyNumberFormat="1" applyFont="1" applyFill="1" applyBorder="1" applyAlignment="1" applyProtection="1">
      <alignment horizontal="center"/>
    </xf>
    <xf numFmtId="44" fontId="12" fillId="0" borderId="0" xfId="2" applyFont="1" applyBorder="1"/>
    <xf numFmtId="0" fontId="4" fillId="0" borderId="0" xfId="0" applyNumberFormat="1" applyFont="1" applyFill="1" applyBorder="1" applyAlignment="1" applyProtection="1">
      <alignment horizontal="right" wrapText="1"/>
    </xf>
    <xf numFmtId="5" fontId="4" fillId="0" borderId="0" xfId="0" applyNumberFormat="1" applyFont="1" applyFill="1" applyBorder="1" applyAlignment="1" applyProtection="1">
      <alignment horizontal="right" wrapText="1"/>
    </xf>
    <xf numFmtId="0" fontId="12" fillId="0" borderId="0" xfId="0" quotePrefix="1" applyFont="1"/>
    <xf numFmtId="43" fontId="12" fillId="0" borderId="0" xfId="1" applyNumberFormat="1" applyFont="1" applyBorder="1" applyProtection="1">
      <protection locked="0"/>
    </xf>
    <xf numFmtId="5" fontId="0" fillId="0" borderId="0" xfId="0" applyNumberFormat="1" applyFont="1" applyFill="1" applyBorder="1" applyAlignment="1" applyProtection="1">
      <alignment horizontal="right" wrapText="1"/>
    </xf>
    <xf numFmtId="0" fontId="0" fillId="0" borderId="0" xfId="0" applyNumberFormat="1" applyFont="1" applyFill="1" applyBorder="1" applyAlignment="1" applyProtection="1">
      <alignment horizontal="right" wrapText="1"/>
    </xf>
    <xf numFmtId="164" fontId="0" fillId="0" borderId="0" xfId="0" applyNumberFormat="1" applyFont="1"/>
    <xf numFmtId="0" fontId="20" fillId="0" borderId="0" xfId="0" applyNumberFormat="1" applyFont="1" applyFill="1" applyBorder="1" applyAlignment="1" applyProtection="1">
      <alignment horizontal="right" wrapText="1"/>
    </xf>
    <xf numFmtId="164" fontId="20" fillId="0" borderId="0" xfId="0" applyNumberFormat="1" applyFont="1"/>
    <xf numFmtId="44" fontId="4" fillId="0" borderId="0" xfId="0" applyNumberFormat="1" applyFont="1" applyFill="1" applyBorder="1" applyAlignment="1" applyProtection="1"/>
    <xf numFmtId="0" fontId="1" fillId="0" borderId="6" xfId="1" applyNumberFormat="1" applyFont="1" applyBorder="1" applyAlignment="1" applyProtection="1">
      <alignment horizontal="center" vertical="center"/>
      <protection locked="0"/>
    </xf>
    <xf numFmtId="164" fontId="1" fillId="0" borderId="0" xfId="0" applyNumberFormat="1" applyFont="1" applyAlignment="1">
      <alignment horizontal="center" vertical="center"/>
    </xf>
    <xf numFmtId="164" fontId="1" fillId="0" borderId="0" xfId="0" applyNumberFormat="1" applyFont="1"/>
    <xf numFmtId="5" fontId="1" fillId="0" borderId="0" xfId="0" applyNumberFormat="1" applyFont="1" applyFill="1" applyBorder="1" applyAlignment="1" applyProtection="1">
      <protection locked="0"/>
    </xf>
    <xf numFmtId="0" fontId="1" fillId="0" borderId="0" xfId="0" applyNumberFormat="1" applyFont="1" applyFill="1" applyBorder="1" applyAlignment="1" applyProtection="1">
      <alignment horizontal="right"/>
    </xf>
    <xf numFmtId="0" fontId="1" fillId="0" borderId="0" xfId="0" applyNumberFormat="1" applyFont="1" applyFill="1" applyBorder="1" applyAlignment="1" applyProtection="1"/>
    <xf numFmtId="0" fontId="1" fillId="0" borderId="0" xfId="0" applyFont="1"/>
    <xf numFmtId="0" fontId="0" fillId="0" borderId="0" xfId="0" applyAlignment="1">
      <alignment horizontal="right"/>
    </xf>
    <xf numFmtId="0" fontId="1" fillId="0" borderId="0" xfId="0" applyFont="1" applyAlignment="1">
      <alignment horizontal="right"/>
    </xf>
    <xf numFmtId="5" fontId="1" fillId="0" borderId="0" xfId="0" applyNumberFormat="1" applyFont="1" applyFill="1" applyBorder="1" applyAlignment="1" applyProtection="1">
      <alignment horizontal="right" wrapText="1"/>
    </xf>
    <xf numFmtId="0" fontId="1" fillId="0" borderId="0" xfId="0" applyNumberFormat="1" applyFont="1" applyFill="1" applyBorder="1" applyAlignment="1" applyProtection="1">
      <alignment horizontal="right" wrapText="1"/>
    </xf>
    <xf numFmtId="164" fontId="4" fillId="0" borderId="0" xfId="0" applyNumberFormat="1" applyFont="1" applyBorder="1"/>
    <xf numFmtId="164" fontId="23" fillId="0" borderId="0" xfId="0" applyNumberFormat="1" applyFont="1" applyBorder="1"/>
    <xf numFmtId="0" fontId="21" fillId="0" borderId="0" xfId="0" applyNumberFormat="1" applyFont="1" applyFill="1" applyBorder="1" applyAlignment="1" applyProtection="1"/>
    <xf numFmtId="164" fontId="3" fillId="0" borderId="9" xfId="0" applyNumberFormat="1" applyFont="1" applyBorder="1" applyAlignment="1">
      <alignment horizontal="left"/>
    </xf>
    <xf numFmtId="164" fontId="4" fillId="0" borderId="10" xfId="0" applyNumberFormat="1" applyFont="1" applyBorder="1"/>
    <xf numFmtId="0" fontId="5" fillId="0" borderId="9" xfId="0" applyNumberFormat="1" applyFont="1" applyFill="1" applyBorder="1" applyAlignment="1" applyProtection="1"/>
    <xf numFmtId="0" fontId="1" fillId="0" borderId="0" xfId="1" applyNumberFormat="1" applyFont="1" applyBorder="1" applyAlignment="1" applyProtection="1">
      <alignment horizontal="center" vertical="center"/>
      <protection locked="0"/>
    </xf>
    <xf numFmtId="0" fontId="1" fillId="0" borderId="10" xfId="1" applyNumberFormat="1" applyFont="1" applyBorder="1" applyAlignment="1" applyProtection="1">
      <alignment horizontal="center" vertical="center"/>
      <protection locked="0"/>
    </xf>
    <xf numFmtId="0" fontId="24" fillId="0" borderId="0" xfId="0" applyNumberFormat="1" applyFont="1" applyFill="1" applyBorder="1" applyAlignment="1" applyProtection="1"/>
    <xf numFmtId="44" fontId="12" fillId="0" borderId="0" xfId="1" applyNumberFormat="1" applyFont="1" applyBorder="1" applyProtection="1">
      <protection locked="0"/>
    </xf>
    <xf numFmtId="0" fontId="0" fillId="0" borderId="0" xfId="0" applyBorder="1"/>
    <xf numFmtId="0" fontId="12" fillId="0" borderId="0" xfId="0" applyNumberFormat="1" applyFont="1" applyFill="1" applyBorder="1" applyAlignment="1" applyProtection="1">
      <alignment horizontal="right"/>
    </xf>
    <xf numFmtId="0" fontId="12" fillId="0" borderId="0" xfId="0" applyNumberFormat="1" applyFont="1" applyFill="1" applyBorder="1" applyAlignment="1" applyProtection="1">
      <alignment horizontal="right"/>
      <protection locked="0"/>
    </xf>
    <xf numFmtId="0" fontId="20" fillId="0" borderId="9" xfId="0" applyNumberFormat="1" applyFont="1" applyFill="1" applyBorder="1" applyAlignment="1" applyProtection="1">
      <alignment horizontal="right"/>
    </xf>
    <xf numFmtId="0" fontId="12" fillId="0" borderId="9" xfId="0" applyNumberFormat="1" applyFont="1" applyFill="1" applyBorder="1" applyAlignment="1" applyProtection="1">
      <alignment horizontal="right"/>
    </xf>
    <xf numFmtId="0" fontId="12" fillId="0" borderId="0" xfId="0" applyNumberFormat="1" applyFont="1" applyFill="1" applyBorder="1" applyAlignment="1" applyProtection="1">
      <alignment horizontal="right"/>
    </xf>
    <xf numFmtId="0" fontId="12" fillId="0" borderId="0" xfId="0" applyNumberFormat="1" applyFont="1" applyFill="1" applyBorder="1" applyAlignment="1" applyProtection="1">
      <alignment horizontal="right"/>
      <protection locked="0"/>
    </xf>
    <xf numFmtId="0" fontId="3" fillId="0" borderId="7" xfId="0" applyNumberFormat="1" applyFont="1" applyFill="1" applyBorder="1" applyAlignment="1" applyProtection="1"/>
    <xf numFmtId="0" fontId="14" fillId="0" borderId="9" xfId="0" applyNumberFormat="1" applyFont="1" applyFill="1" applyBorder="1" applyAlignment="1" applyProtection="1"/>
    <xf numFmtId="0" fontId="13" fillId="0" borderId="9" xfId="0" applyNumberFormat="1" applyFont="1" applyFill="1" applyBorder="1" applyAlignment="1" applyProtection="1">
      <alignment horizontal="right"/>
    </xf>
    <xf numFmtId="5" fontId="12" fillId="0" borderId="9" xfId="0" applyNumberFormat="1" applyFont="1" applyFill="1" applyBorder="1" applyAlignment="1" applyProtection="1">
      <alignment horizontal="right"/>
    </xf>
    <xf numFmtId="0" fontId="5" fillId="0" borderId="9" xfId="0" applyNumberFormat="1" applyFont="1" applyFill="1" applyBorder="1" applyAlignment="1" applyProtection="1">
      <alignment horizontal="left"/>
    </xf>
    <xf numFmtId="0" fontId="12" fillId="0" borderId="9" xfId="0" applyNumberFormat="1" applyFont="1" applyFill="1" applyBorder="1" applyAlignment="1" applyProtection="1"/>
    <xf numFmtId="0" fontId="21" fillId="0" borderId="11" xfId="0" applyNumberFormat="1" applyFont="1" applyFill="1" applyBorder="1" applyAlignment="1" applyProtection="1">
      <alignment horizontal="left"/>
    </xf>
    <xf numFmtId="0" fontId="5" fillId="0" borderId="7" xfId="0" applyNumberFormat="1" applyFont="1" applyFill="1" applyBorder="1" applyAlignment="1" applyProtection="1"/>
    <xf numFmtId="0" fontId="13" fillId="0" borderId="11" xfId="0" applyNumberFormat="1" applyFont="1" applyFill="1" applyBorder="1" applyAlignment="1" applyProtection="1">
      <alignment horizontal="right"/>
    </xf>
    <xf numFmtId="5" fontId="13" fillId="0" borderId="11" xfId="0" applyNumberFormat="1" applyFont="1" applyFill="1" applyBorder="1" applyAlignment="1" applyProtection="1">
      <alignment horizontal="right"/>
    </xf>
    <xf numFmtId="0" fontId="5" fillId="0" borderId="7" xfId="0" applyNumberFormat="1" applyFont="1" applyFill="1" applyBorder="1" applyAlignment="1" applyProtection="1">
      <alignment horizontal="left"/>
    </xf>
    <xf numFmtId="0" fontId="5" fillId="0" borderId="11" xfId="0" applyNumberFormat="1" applyFont="1" applyFill="1" applyBorder="1" applyAlignment="1" applyProtection="1"/>
    <xf numFmtId="0" fontId="12" fillId="0" borderId="7" xfId="0" applyNumberFormat="1" applyFont="1" applyFill="1" applyBorder="1" applyAlignment="1" applyProtection="1"/>
    <xf numFmtId="0" fontId="12" fillId="0" borderId="11" xfId="0" applyNumberFormat="1" applyFont="1" applyFill="1" applyBorder="1" applyAlignment="1" applyProtection="1"/>
    <xf numFmtId="0" fontId="9" fillId="0" borderId="9" xfId="0" applyNumberFormat="1" applyFont="1" applyFill="1" applyBorder="1" applyAlignment="1" applyProtection="1"/>
    <xf numFmtId="0" fontId="15" fillId="0" borderId="9" xfId="0" applyNumberFormat="1" applyFont="1" applyFill="1" applyBorder="1" applyAlignment="1" applyProtection="1"/>
    <xf numFmtId="0" fontId="15" fillId="0" borderId="11" xfId="0" applyNumberFormat="1" applyFont="1" applyFill="1" applyBorder="1" applyAlignment="1" applyProtection="1"/>
    <xf numFmtId="164" fontId="12" fillId="0" borderId="0" xfId="0" applyNumberFormat="1" applyFont="1" applyBorder="1" applyAlignment="1" applyProtection="1">
      <alignment horizontal="center"/>
    </xf>
    <xf numFmtId="0" fontId="22" fillId="0" borderId="0" xfId="0" applyNumberFormat="1" applyFont="1" applyFill="1" applyBorder="1" applyAlignment="1" applyProtection="1">
      <alignment horizontal="right"/>
      <protection locked="0"/>
    </xf>
    <xf numFmtId="43" fontId="22" fillId="0" borderId="0" xfId="1" applyNumberFormat="1" applyFont="1" applyBorder="1" applyProtection="1">
      <protection locked="0"/>
    </xf>
    <xf numFmtId="44" fontId="12" fillId="0" borderId="0" xfId="2" applyFont="1" applyBorder="1" applyProtection="1"/>
    <xf numFmtId="43" fontId="12" fillId="0" borderId="0" xfId="1" applyFont="1" applyBorder="1" applyProtection="1"/>
    <xf numFmtId="164" fontId="3" fillId="0" borderId="0" xfId="0" applyNumberFormat="1" applyFont="1" applyBorder="1" applyAlignment="1" applyProtection="1">
      <alignment horizontal="left"/>
    </xf>
    <xf numFmtId="164" fontId="13" fillId="0" borderId="0" xfId="0" applyNumberFormat="1" applyFont="1" applyBorder="1" applyAlignment="1" applyProtection="1">
      <alignment horizontal="left"/>
    </xf>
    <xf numFmtId="164" fontId="5" fillId="0" borderId="9" xfId="0" applyNumberFormat="1" applyFont="1" applyBorder="1" applyAlignment="1" applyProtection="1">
      <alignment horizontal="left"/>
    </xf>
    <xf numFmtId="5" fontId="34" fillId="0" borderId="0" xfId="0" applyNumberFormat="1" applyFont="1" applyFill="1" applyBorder="1" applyAlignment="1">
      <alignment horizontal="right"/>
    </xf>
    <xf numFmtId="44" fontId="0" fillId="0" borderId="0" xfId="2" applyNumberFormat="1" applyFont="1" applyFill="1" applyBorder="1"/>
    <xf numFmtId="14" fontId="10" fillId="0" borderId="0" xfId="1" applyNumberFormat="1" applyFont="1" applyBorder="1" applyAlignment="1" applyProtection="1">
      <alignment horizontal="center"/>
    </xf>
    <xf numFmtId="0" fontId="10" fillId="0" borderId="0" xfId="0" applyNumberFormat="1" applyFont="1" applyFill="1" applyBorder="1" applyAlignment="1" applyProtection="1">
      <alignment horizontal="right"/>
    </xf>
    <xf numFmtId="164" fontId="6" fillId="0" borderId="0" xfId="0" applyNumberFormat="1" applyFont="1" applyBorder="1" applyAlignment="1" applyProtection="1">
      <alignment horizontal="left"/>
    </xf>
    <xf numFmtId="43" fontId="1" fillId="0" borderId="0" xfId="1" applyBorder="1" applyProtection="1"/>
    <xf numFmtId="0" fontId="13" fillId="0" borderId="0" xfId="0" applyFont="1" applyBorder="1" applyProtection="1"/>
    <xf numFmtId="43" fontId="13" fillId="0" borderId="0" xfId="1" applyFont="1" applyBorder="1" applyProtection="1"/>
    <xf numFmtId="44" fontId="12" fillId="0" borderId="0" xfId="2" applyFont="1" applyBorder="1" applyProtection="1">
      <protection locked="0"/>
    </xf>
    <xf numFmtId="0" fontId="12" fillId="0" borderId="0" xfId="0" applyFont="1" applyBorder="1"/>
    <xf numFmtId="0" fontId="12" fillId="0" borderId="0" xfId="0" applyFont="1" applyFill="1" applyBorder="1" applyProtection="1"/>
    <xf numFmtId="43" fontId="1" fillId="0" borderId="0" xfId="1" applyBorder="1"/>
    <xf numFmtId="43" fontId="12" fillId="0" borderId="0" xfId="1" applyFont="1" applyBorder="1" applyAlignment="1" applyProtection="1">
      <alignment horizontal="center"/>
    </xf>
    <xf numFmtId="0" fontId="21" fillId="0" borderId="0" xfId="0" applyFont="1" applyBorder="1" applyAlignment="1" applyProtection="1">
      <alignment horizontal="left" vertical="center"/>
    </xf>
    <xf numFmtId="0" fontId="13" fillId="0" borderId="0" xfId="0" applyFont="1" applyBorder="1" applyAlignment="1" applyProtection="1">
      <alignment horizontal="center" vertical="center"/>
    </xf>
    <xf numFmtId="0" fontId="13" fillId="0" borderId="0" xfId="0" applyNumberFormat="1" applyFont="1" applyFill="1" applyBorder="1" applyAlignment="1" applyProtection="1">
      <alignment vertical="center"/>
    </xf>
    <xf numFmtId="0" fontId="0" fillId="0" borderId="0" xfId="0" applyAlignment="1">
      <alignment vertical="center"/>
    </xf>
    <xf numFmtId="0" fontId="31" fillId="0" borderId="0" xfId="0" applyNumberFormat="1" applyFont="1" applyFill="1" applyBorder="1" applyAlignment="1" applyProtection="1">
      <alignment vertical="center"/>
    </xf>
    <xf numFmtId="0" fontId="5" fillId="0" borderId="0" xfId="0" applyFont="1" applyAlignment="1">
      <alignment vertical="center"/>
    </xf>
    <xf numFmtId="0" fontId="12" fillId="0" borderId="0" xfId="0" applyNumberFormat="1" applyFont="1" applyFill="1" applyBorder="1" applyAlignment="1" applyProtection="1">
      <alignment vertical="center"/>
    </xf>
    <xf numFmtId="0" fontId="12" fillId="0" borderId="0" xfId="0" applyNumberFormat="1" applyFont="1" applyFill="1" applyBorder="1" applyAlignment="1" applyProtection="1">
      <alignment horizontal="center" vertical="center" wrapText="1"/>
    </xf>
    <xf numFmtId="0" fontId="22" fillId="0" borderId="0" xfId="0" applyNumberFormat="1" applyFont="1" applyFill="1" applyBorder="1" applyAlignment="1" applyProtection="1">
      <alignment horizontal="center" vertical="center" wrapText="1"/>
    </xf>
    <xf numFmtId="0" fontId="22" fillId="0" borderId="0" xfId="0" applyNumberFormat="1" applyFont="1" applyFill="1" applyBorder="1" applyAlignment="1" applyProtection="1">
      <alignment vertical="center"/>
    </xf>
    <xf numFmtId="0" fontId="22" fillId="0" borderId="0" xfId="2" applyNumberFormat="1" applyFont="1" applyFill="1" applyBorder="1" applyAlignment="1" applyProtection="1">
      <alignment horizontal="center" vertical="center"/>
      <protection locked="0"/>
    </xf>
    <xf numFmtId="0" fontId="22" fillId="0" borderId="0" xfId="0" applyNumberFormat="1" applyFont="1" applyFill="1" applyBorder="1" applyAlignment="1" applyProtection="1">
      <alignment vertical="center"/>
      <protection locked="0"/>
    </xf>
    <xf numFmtId="0" fontId="22" fillId="0" borderId="0" xfId="2" applyNumberFormat="1" applyFont="1" applyFill="1" applyBorder="1" applyAlignment="1" applyProtection="1">
      <alignment vertical="center"/>
      <protection locked="0"/>
    </xf>
    <xf numFmtId="166" fontId="5" fillId="0" borderId="0" xfId="2" applyNumberFormat="1" applyFont="1" applyAlignment="1">
      <alignment vertical="center"/>
    </xf>
    <xf numFmtId="0" fontId="43" fillId="0" borderId="0" xfId="0" applyFont="1" applyAlignment="1">
      <alignment horizontal="right" vertical="center"/>
    </xf>
    <xf numFmtId="0" fontId="33" fillId="4" borderId="0" xfId="0" applyNumberFormat="1" applyFont="1" applyFill="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pplyProtection="1">
      <alignment vertical="center"/>
      <protection locked="0"/>
    </xf>
    <xf numFmtId="169" fontId="0" fillId="0" borderId="0" xfId="4" applyNumberFormat="1" applyFont="1" applyAlignment="1" applyProtection="1">
      <alignment horizontal="center" vertical="center"/>
      <protection locked="0"/>
    </xf>
    <xf numFmtId="166" fontId="0" fillId="0" borderId="0" xfId="2" applyNumberFormat="1" applyFont="1" applyAlignment="1" applyProtection="1">
      <alignment vertical="center"/>
      <protection locked="0"/>
    </xf>
    <xf numFmtId="0" fontId="0" fillId="0" borderId="0" xfId="0" applyAlignment="1" applyProtection="1">
      <alignment horizontal="center" vertical="center"/>
      <protection locked="0"/>
    </xf>
    <xf numFmtId="0" fontId="0" fillId="0" borderId="0" xfId="0" applyAlignment="1">
      <alignment horizontal="center" vertical="center"/>
    </xf>
    <xf numFmtId="6" fontId="0" fillId="0" borderId="0" xfId="0" applyNumberFormat="1" applyAlignment="1" applyProtection="1">
      <alignment vertical="center"/>
      <protection hidden="1"/>
    </xf>
    <xf numFmtId="6" fontId="0" fillId="0" borderId="0" xfId="2" applyNumberFormat="1" applyFont="1" applyAlignment="1" applyProtection="1">
      <alignment vertical="center"/>
      <protection hidden="1"/>
    </xf>
    <xf numFmtId="169" fontId="1" fillId="0" borderId="0" xfId="4" applyNumberFormat="1" applyFont="1" applyAlignment="1" applyProtection="1">
      <alignment horizontal="center" vertical="center"/>
      <protection locked="0"/>
    </xf>
    <xf numFmtId="166" fontId="1" fillId="0" borderId="0" xfId="2" applyNumberFormat="1" applyFont="1" applyAlignment="1" applyProtection="1">
      <alignment vertical="center"/>
      <protection locked="0"/>
    </xf>
    <xf numFmtId="0" fontId="1" fillId="0" borderId="0" xfId="0" applyFont="1" applyAlignment="1" applyProtection="1">
      <alignment horizontal="center" vertical="center"/>
      <protection locked="0"/>
    </xf>
    <xf numFmtId="0" fontId="0" fillId="0" borderId="0" xfId="0" applyNumberFormat="1" applyAlignment="1">
      <alignment horizontal="center" vertical="center"/>
    </xf>
    <xf numFmtId="0" fontId="41" fillId="0" borderId="0" xfId="0" applyFont="1" applyAlignment="1" applyProtection="1">
      <alignment vertical="center"/>
      <protection locked="0"/>
    </xf>
    <xf numFmtId="169" fontId="41" fillId="0" borderId="0" xfId="4" applyNumberFormat="1" applyFont="1" applyAlignment="1" applyProtection="1">
      <alignment horizontal="center" vertical="center"/>
      <protection locked="0"/>
    </xf>
    <xf numFmtId="166" fontId="41" fillId="0" borderId="0" xfId="2" applyNumberFormat="1" applyFont="1" applyAlignment="1" applyProtection="1">
      <alignment vertical="center"/>
      <protection locked="0"/>
    </xf>
    <xf numFmtId="167" fontId="12" fillId="0" borderId="0" xfId="0" applyNumberFormat="1" applyFont="1" applyAlignment="1" applyProtection="1">
      <alignment horizontal="center"/>
    </xf>
    <xf numFmtId="167" fontId="12" fillId="0" borderId="8" xfId="0" applyNumberFormat="1" applyFont="1" applyBorder="1" applyAlignment="1" applyProtection="1">
      <alignment horizontal="center"/>
    </xf>
    <xf numFmtId="167" fontId="12" fillId="0" borderId="16" xfId="0" applyNumberFormat="1" applyFont="1" applyBorder="1" applyAlignment="1" applyProtection="1">
      <alignment horizontal="center"/>
    </xf>
    <xf numFmtId="167" fontId="12" fillId="0" borderId="10" xfId="1" applyNumberFormat="1" applyFont="1" applyBorder="1" applyProtection="1">
      <protection locked="0"/>
    </xf>
    <xf numFmtId="167" fontId="12" fillId="0" borderId="14" xfId="1" applyNumberFormat="1" applyFont="1" applyBorder="1" applyProtection="1">
      <protection locked="0"/>
    </xf>
    <xf numFmtId="167" fontId="12" fillId="0" borderId="14" xfId="2" applyNumberFormat="1" applyFont="1" applyBorder="1" applyProtection="1"/>
    <xf numFmtId="167" fontId="12" fillId="0" borderId="23" xfId="0" applyNumberFormat="1" applyFont="1" applyBorder="1" applyAlignment="1" applyProtection="1">
      <alignment horizontal="center"/>
    </xf>
    <xf numFmtId="167" fontId="12" fillId="0" borderId="8" xfId="0" applyNumberFormat="1" applyFont="1" applyBorder="1" applyProtection="1"/>
    <xf numFmtId="167" fontId="12" fillId="0" borderId="10" xfId="0" applyNumberFormat="1" applyFont="1" applyBorder="1" applyProtection="1"/>
    <xf numFmtId="167" fontId="12" fillId="0" borderId="14" xfId="0" applyNumberFormat="1" applyFont="1" applyBorder="1" applyProtection="1"/>
    <xf numFmtId="167" fontId="13" fillId="0" borderId="10" xfId="0" applyNumberFormat="1" applyFont="1" applyBorder="1" applyProtection="1"/>
    <xf numFmtId="167" fontId="13" fillId="0" borderId="0" xfId="0" applyNumberFormat="1" applyFont="1" applyProtection="1"/>
    <xf numFmtId="167" fontId="12" fillId="0" borderId="10" xfId="2" applyNumberFormat="1" applyFont="1" applyBorder="1" applyProtection="1">
      <protection locked="0"/>
    </xf>
    <xf numFmtId="167" fontId="13" fillId="0" borderId="10" xfId="2" applyNumberFormat="1" applyFont="1" applyBorder="1" applyProtection="1"/>
    <xf numFmtId="167" fontId="10" fillId="0" borderId="8" xfId="0" applyNumberFormat="1" applyFont="1" applyBorder="1" applyAlignment="1" applyProtection="1">
      <alignment horizontal="right"/>
    </xf>
    <xf numFmtId="167" fontId="15" fillId="0" borderId="10" xfId="0" applyNumberFormat="1" applyFont="1" applyBorder="1" applyProtection="1"/>
    <xf numFmtId="167" fontId="12" fillId="0" borderId="0" xfId="0" applyNumberFormat="1" applyFont="1"/>
    <xf numFmtId="0" fontId="0" fillId="0" borderId="0" xfId="0" applyProtection="1">
      <protection hidden="1"/>
    </xf>
    <xf numFmtId="42" fontId="0" fillId="0" borderId="10" xfId="0" applyNumberFormat="1" applyBorder="1" applyProtection="1">
      <protection hidden="1"/>
    </xf>
    <xf numFmtId="0" fontId="1" fillId="0" borderId="9" xfId="0" applyFont="1" applyBorder="1" applyProtection="1">
      <protection hidden="1"/>
    </xf>
    <xf numFmtId="0" fontId="0" fillId="0" borderId="0" xfId="0" applyBorder="1" applyProtection="1">
      <protection hidden="1"/>
    </xf>
    <xf numFmtId="41" fontId="0" fillId="0" borderId="10" xfId="0" applyNumberFormat="1" applyBorder="1" applyProtection="1">
      <protection hidden="1"/>
    </xf>
    <xf numFmtId="166" fontId="5" fillId="0" borderId="14" xfId="0" applyNumberFormat="1" applyFont="1" applyBorder="1" applyProtection="1">
      <protection hidden="1"/>
    </xf>
    <xf numFmtId="42" fontId="0" fillId="0" borderId="10" xfId="2" applyNumberFormat="1" applyFont="1" applyBorder="1" applyProtection="1">
      <protection hidden="1"/>
    </xf>
    <xf numFmtId="0" fontId="0" fillId="0" borderId="9" xfId="0" applyBorder="1" applyProtection="1">
      <protection hidden="1"/>
    </xf>
    <xf numFmtId="166" fontId="5" fillId="0" borderId="14" xfId="2" applyNumberFormat="1" applyFont="1" applyBorder="1" applyProtection="1">
      <protection hidden="1"/>
    </xf>
    <xf numFmtId="166" fontId="0" fillId="0" borderId="0" xfId="0" applyNumberFormat="1" applyBorder="1" applyProtection="1">
      <protection hidden="1"/>
    </xf>
    <xf numFmtId="166" fontId="30" fillId="0" borderId="0" xfId="0" applyNumberFormat="1" applyFont="1" applyBorder="1" applyProtection="1">
      <protection hidden="1"/>
    </xf>
    <xf numFmtId="166" fontId="26" fillId="0" borderId="4" xfId="0" applyNumberFormat="1" applyFont="1" applyBorder="1" applyProtection="1">
      <protection hidden="1"/>
    </xf>
    <xf numFmtId="0" fontId="23" fillId="0" borderId="5" xfId="0" applyFont="1" applyBorder="1" applyAlignment="1" applyProtection="1">
      <protection hidden="1"/>
    </xf>
    <xf numFmtId="0" fontId="23" fillId="0" borderId="0" xfId="0" applyFont="1" applyBorder="1" applyAlignment="1" applyProtection="1">
      <protection hidden="1"/>
    </xf>
    <xf numFmtId="167" fontId="0" fillId="0" borderId="0" xfId="0" applyNumberFormat="1" applyBorder="1" applyAlignment="1" applyProtection="1">
      <protection hidden="1"/>
    </xf>
    <xf numFmtId="2" fontId="0" fillId="0" borderId="0" xfId="0" applyNumberFormat="1" applyBorder="1" applyAlignment="1" applyProtection="1">
      <alignment horizontal="center"/>
      <protection hidden="1"/>
    </xf>
    <xf numFmtId="9" fontId="0" fillId="0" borderId="0" xfId="4" applyFont="1" applyBorder="1" applyAlignment="1" applyProtection="1">
      <alignment horizontal="center"/>
      <protection hidden="1"/>
    </xf>
    <xf numFmtId="42" fontId="0" fillId="0" borderId="0" xfId="2" applyNumberFormat="1" applyFont="1" applyBorder="1" applyProtection="1">
      <protection hidden="1"/>
    </xf>
    <xf numFmtId="41" fontId="0" fillId="0" borderId="0" xfId="2" applyNumberFormat="1" applyFont="1" applyBorder="1" applyProtection="1">
      <protection hidden="1"/>
    </xf>
    <xf numFmtId="42" fontId="5" fillId="0" borderId="4" xfId="2" applyNumberFormat="1" applyFont="1" applyBorder="1" applyProtection="1">
      <protection hidden="1"/>
    </xf>
    <xf numFmtId="0" fontId="0" fillId="0" borderId="5" xfId="0" applyBorder="1" applyProtection="1">
      <protection hidden="1"/>
    </xf>
    <xf numFmtId="42" fontId="0" fillId="0" borderId="0" xfId="0" applyNumberFormat="1" applyBorder="1" applyProtection="1">
      <protection hidden="1"/>
    </xf>
    <xf numFmtId="42" fontId="32" fillId="0" borderId="0" xfId="2" applyNumberFormat="1" applyFont="1" applyBorder="1" applyProtection="1">
      <protection hidden="1"/>
    </xf>
    <xf numFmtId="42" fontId="5" fillId="0" borderId="0" xfId="0" applyNumberFormat="1" applyFont="1" applyBorder="1" applyProtection="1">
      <protection hidden="1"/>
    </xf>
    <xf numFmtId="167" fontId="12" fillId="0" borderId="10" xfId="1" applyNumberFormat="1" applyFont="1" applyBorder="1" applyProtection="1">
      <protection locked="0" hidden="1"/>
    </xf>
    <xf numFmtId="167" fontId="12" fillId="0" borderId="14" xfId="2" applyNumberFormat="1" applyFont="1" applyBorder="1" applyProtection="1">
      <protection locked="0" hidden="1"/>
    </xf>
    <xf numFmtId="167" fontId="12" fillId="3" borderId="10" xfId="1" applyNumberFormat="1" applyFont="1" applyFill="1" applyBorder="1" applyProtection="1">
      <protection locked="0" hidden="1"/>
    </xf>
    <xf numFmtId="167" fontId="13" fillId="0" borderId="14" xfId="2" applyNumberFormat="1" applyFont="1" applyFill="1" applyBorder="1" applyProtection="1">
      <protection locked="0" hidden="1"/>
    </xf>
    <xf numFmtId="167" fontId="13" fillId="0" borderId="14" xfId="2" applyNumberFormat="1" applyFont="1" applyBorder="1" applyProtection="1">
      <protection locked="0" hidden="1"/>
    </xf>
    <xf numFmtId="167" fontId="12" fillId="0" borderId="10" xfId="0" applyNumberFormat="1" applyFont="1" applyBorder="1" applyProtection="1">
      <protection locked="0" hidden="1"/>
    </xf>
    <xf numFmtId="167" fontId="12" fillId="0" borderId="14" xfId="0" applyNumberFormat="1" applyFont="1" applyBorder="1" applyProtection="1">
      <protection locked="0" hidden="1"/>
    </xf>
    <xf numFmtId="167" fontId="13" fillId="0" borderId="10" xfId="0" applyNumberFormat="1" applyFont="1" applyBorder="1" applyProtection="1">
      <protection locked="0" hidden="1"/>
    </xf>
    <xf numFmtId="167" fontId="13" fillId="0" borderId="14" xfId="0" applyNumberFormat="1" applyFont="1" applyBorder="1" applyProtection="1">
      <protection locked="0" hidden="1"/>
    </xf>
    <xf numFmtId="167" fontId="31" fillId="0" borderId="14" xfId="2" applyNumberFormat="1" applyFont="1" applyBorder="1" applyProtection="1">
      <protection locked="0" hidden="1"/>
    </xf>
    <xf numFmtId="167" fontId="13" fillId="0" borderId="10" xfId="2" applyNumberFormat="1" applyFont="1" applyBorder="1" applyProtection="1">
      <protection locked="0" hidden="1"/>
    </xf>
    <xf numFmtId="167" fontId="9" fillId="0" borderId="10" xfId="0" applyNumberFormat="1" applyFont="1" applyBorder="1" applyProtection="1">
      <protection locked="0" hidden="1"/>
    </xf>
    <xf numFmtId="43" fontId="15" fillId="0" borderId="10" xfId="1" applyFont="1" applyBorder="1" applyProtection="1">
      <protection locked="0" hidden="1"/>
    </xf>
    <xf numFmtId="167" fontId="15" fillId="0" borderId="10" xfId="2" applyNumberFormat="1" applyFont="1" applyBorder="1" applyProtection="1">
      <protection locked="0" hidden="1"/>
    </xf>
    <xf numFmtId="169" fontId="15" fillId="0" borderId="10" xfId="4" applyNumberFormat="1" applyFont="1" applyBorder="1" applyProtection="1">
      <protection locked="0" hidden="1"/>
    </xf>
    <xf numFmtId="169" fontId="15" fillId="0" borderId="14" xfId="4" applyNumberFormat="1" applyFont="1" applyBorder="1" applyProtection="1">
      <protection locked="0" hidden="1"/>
    </xf>
    <xf numFmtId="167" fontId="12" fillId="0" borderId="14" xfId="2" applyNumberFormat="1" applyFont="1" applyBorder="1" applyProtection="1">
      <protection locked="0"/>
    </xf>
    <xf numFmtId="0" fontId="1" fillId="0" borderId="29" xfId="0" applyFont="1" applyBorder="1" applyAlignment="1" applyProtection="1">
      <alignment horizontal="right"/>
      <protection hidden="1"/>
    </xf>
    <xf numFmtId="42" fontId="0" fillId="0" borderId="30" xfId="0" applyNumberFormat="1" applyBorder="1" applyProtection="1">
      <protection hidden="1"/>
    </xf>
    <xf numFmtId="41" fontId="0" fillId="0" borderId="30" xfId="0" applyNumberFormat="1" applyBorder="1" applyProtection="1">
      <protection hidden="1"/>
    </xf>
    <xf numFmtId="0" fontId="5" fillId="0" borderId="31" xfId="0" applyFont="1" applyBorder="1" applyProtection="1">
      <protection hidden="1"/>
    </xf>
    <xf numFmtId="166" fontId="5" fillId="0" borderId="32" xfId="0" applyNumberFormat="1" applyFont="1" applyBorder="1" applyProtection="1">
      <protection hidden="1"/>
    </xf>
    <xf numFmtId="5" fontId="27" fillId="0" borderId="29" xfId="0" applyNumberFormat="1" applyFont="1" applyFill="1" applyBorder="1" applyAlignment="1" applyProtection="1">
      <alignment horizontal="right"/>
      <protection hidden="1"/>
    </xf>
    <xf numFmtId="0" fontId="27" fillId="0" borderId="29" xfId="0" applyNumberFormat="1" applyFont="1" applyFill="1" applyBorder="1" applyAlignment="1" applyProtection="1">
      <alignment horizontal="right"/>
      <protection hidden="1"/>
    </xf>
    <xf numFmtId="166" fontId="0" fillId="0" borderId="30" xfId="0" applyNumberFormat="1" applyBorder="1" applyProtection="1">
      <protection hidden="1"/>
    </xf>
    <xf numFmtId="0" fontId="29" fillId="0" borderId="31" xfId="0" applyNumberFormat="1" applyFont="1" applyFill="1" applyBorder="1" applyAlignment="1" applyProtection="1">
      <alignment horizontal="left"/>
      <protection hidden="1"/>
    </xf>
    <xf numFmtId="0" fontId="30" fillId="0" borderId="29" xfId="0" applyNumberFormat="1" applyFont="1" applyFill="1" applyBorder="1" applyAlignment="1" applyProtection="1">
      <alignment horizontal="right"/>
      <protection hidden="1"/>
    </xf>
    <xf numFmtId="166" fontId="30" fillId="0" borderId="30" xfId="0" applyNumberFormat="1" applyFont="1" applyBorder="1" applyProtection="1">
      <protection hidden="1"/>
    </xf>
    <xf numFmtId="0" fontId="26" fillId="0" borderId="31" xfId="0" applyFont="1" applyBorder="1" applyAlignment="1" applyProtection="1">
      <alignment horizontal="left" indent="1"/>
      <protection hidden="1"/>
    </xf>
    <xf numFmtId="166" fontId="26" fillId="0" borderId="32" xfId="0" applyNumberFormat="1" applyFont="1" applyBorder="1" applyProtection="1">
      <protection hidden="1"/>
    </xf>
    <xf numFmtId="0" fontId="0" fillId="0" borderId="30" xfId="0" applyBorder="1" applyProtection="1">
      <protection hidden="1"/>
    </xf>
    <xf numFmtId="9" fontId="0" fillId="0" borderId="22" xfId="4" applyFont="1" applyBorder="1" applyAlignment="1" applyProtection="1">
      <alignment horizontal="center"/>
      <protection hidden="1"/>
    </xf>
    <xf numFmtId="0" fontId="0" fillId="0" borderId="22" xfId="0" applyBorder="1" applyProtection="1">
      <protection hidden="1"/>
    </xf>
    <xf numFmtId="0" fontId="0" fillId="0" borderId="34" xfId="0" applyBorder="1" applyProtection="1">
      <protection hidden="1"/>
    </xf>
    <xf numFmtId="42" fontId="0" fillId="0" borderId="30" xfId="2" applyNumberFormat="1" applyFont="1" applyBorder="1" applyProtection="1">
      <protection hidden="1"/>
    </xf>
    <xf numFmtId="41" fontId="0" fillId="0" borderId="30" xfId="2" applyNumberFormat="1" applyFont="1" applyBorder="1" applyProtection="1">
      <protection hidden="1"/>
    </xf>
    <xf numFmtId="42" fontId="5" fillId="0" borderId="30" xfId="2" applyNumberFormat="1" applyFont="1" applyBorder="1" applyProtection="1">
      <protection hidden="1"/>
    </xf>
    <xf numFmtId="166" fontId="0" fillId="0" borderId="30" xfId="2" applyNumberFormat="1" applyFont="1" applyBorder="1" applyProtection="1">
      <protection hidden="1"/>
    </xf>
    <xf numFmtId="42" fontId="26" fillId="0" borderId="32" xfId="2" applyNumberFormat="1" applyFont="1" applyBorder="1" applyProtection="1">
      <protection hidden="1"/>
    </xf>
    <xf numFmtId="0" fontId="0" fillId="0" borderId="27" xfId="0" applyBorder="1" applyProtection="1">
      <protection hidden="1"/>
    </xf>
    <xf numFmtId="0" fontId="0" fillId="0" borderId="28" xfId="0" applyBorder="1" applyProtection="1">
      <protection hidden="1"/>
    </xf>
    <xf numFmtId="0" fontId="1" fillId="0" borderId="29" xfId="0" applyFont="1" applyBorder="1" applyProtection="1">
      <protection hidden="1"/>
    </xf>
    <xf numFmtId="0" fontId="32" fillId="0" borderId="29" xfId="0" applyFont="1" applyBorder="1" applyProtection="1">
      <protection hidden="1"/>
    </xf>
    <xf numFmtId="42" fontId="32" fillId="0" borderId="30" xfId="2" applyNumberFormat="1" applyFont="1" applyBorder="1" applyProtection="1">
      <protection hidden="1"/>
    </xf>
    <xf numFmtId="0" fontId="5" fillId="0" borderId="29" xfId="0" applyFont="1" applyBorder="1" applyProtection="1">
      <protection hidden="1"/>
    </xf>
    <xf numFmtId="42" fontId="5" fillId="0" borderId="30" xfId="0" applyNumberFormat="1" applyFont="1" applyBorder="1" applyProtection="1">
      <protection hidden="1"/>
    </xf>
    <xf numFmtId="43" fontId="4" fillId="0" borderId="0" xfId="1" applyFont="1" applyBorder="1" applyAlignment="1" applyProtection="1">
      <alignment horizontal="right"/>
      <protection locked="0"/>
    </xf>
    <xf numFmtId="5" fontId="40" fillId="0" borderId="0" xfId="0" applyNumberFormat="1" applyFont="1" applyFill="1" applyBorder="1" applyAlignment="1" applyProtection="1"/>
    <xf numFmtId="0" fontId="4" fillId="0" borderId="0" xfId="0" applyNumberFormat="1" applyFont="1" applyFill="1" applyBorder="1" applyAlignment="1" applyProtection="1">
      <alignment horizontal="right" wrapText="1"/>
      <protection locked="0"/>
    </xf>
    <xf numFmtId="43" fontId="4" fillId="0" borderId="0" xfId="1" applyFont="1" applyBorder="1" applyAlignment="1" applyProtection="1">
      <alignment horizontal="right" wrapText="1"/>
      <protection locked="0"/>
    </xf>
    <xf numFmtId="0" fontId="1" fillId="0" borderId="33" xfId="0" applyFont="1" applyBorder="1" applyAlignment="1" applyProtection="1">
      <alignment horizontal="right"/>
      <protection hidden="1"/>
    </xf>
    <xf numFmtId="0" fontId="1" fillId="0" borderId="29" xfId="0" applyFont="1" applyBorder="1" applyAlignment="1" applyProtection="1">
      <alignment horizontal="right"/>
      <protection hidden="1"/>
    </xf>
    <xf numFmtId="0" fontId="26" fillId="0" borderId="0" xfId="0" applyFont="1" applyAlignment="1" applyProtection="1">
      <alignment horizontal="right"/>
      <protection hidden="1"/>
    </xf>
    <xf numFmtId="0" fontId="4" fillId="0" borderId="0" xfId="0" applyNumberFormat="1" applyFont="1" applyFill="1" applyBorder="1" applyAlignment="1" applyProtection="1">
      <alignment horizontal="right"/>
      <protection locked="0"/>
    </xf>
    <xf numFmtId="0" fontId="4" fillId="0" borderId="0" xfId="0" applyFont="1" applyBorder="1" applyAlignment="1">
      <alignment horizontal="right"/>
    </xf>
    <xf numFmtId="0" fontId="0" fillId="0" borderId="29" xfId="0" applyBorder="1" applyProtection="1">
      <protection hidden="1"/>
    </xf>
    <xf numFmtId="5" fontId="0" fillId="0" borderId="22" xfId="2" applyNumberFormat="1" applyFont="1" applyBorder="1" applyAlignment="1" applyProtection="1">
      <alignment horizontal="center"/>
      <protection hidden="1"/>
    </xf>
    <xf numFmtId="164" fontId="4" fillId="0" borderId="0" xfId="0" applyNumberFormat="1" applyFont="1" applyBorder="1" applyAlignment="1">
      <alignment horizontal="center"/>
    </xf>
    <xf numFmtId="0" fontId="1" fillId="0" borderId="0" xfId="0" applyNumberFormat="1" applyFont="1" applyFill="1" applyBorder="1" applyAlignment="1" applyProtection="1">
      <alignment horizontal="right"/>
      <protection locked="0"/>
    </xf>
    <xf numFmtId="0" fontId="1" fillId="0" borderId="0" xfId="0" applyFont="1" applyBorder="1" applyAlignment="1">
      <alignment horizontal="right"/>
    </xf>
    <xf numFmtId="0" fontId="5" fillId="0" borderId="2" xfId="0" applyNumberFormat="1" applyFont="1" applyFill="1" applyBorder="1" applyAlignment="1" applyProtection="1">
      <alignment horizontal="right"/>
    </xf>
    <xf numFmtId="5" fontId="5" fillId="0" borderId="2" xfId="0" applyNumberFormat="1" applyFont="1" applyFill="1" applyBorder="1" applyAlignment="1" applyProtection="1">
      <alignment horizontal="right"/>
    </xf>
    <xf numFmtId="5" fontId="5" fillId="0" borderId="1" xfId="0" applyNumberFormat="1" applyFont="1" applyFill="1" applyBorder="1" applyAlignment="1" applyProtection="1">
      <alignment horizontal="right"/>
    </xf>
    <xf numFmtId="164" fontId="7" fillId="0" borderId="38" xfId="0" applyNumberFormat="1" applyFont="1" applyBorder="1" applyAlignment="1">
      <alignment horizontal="left"/>
    </xf>
    <xf numFmtId="5" fontId="5" fillId="0" borderId="38" xfId="0" applyNumberFormat="1" applyFont="1" applyFill="1" applyBorder="1" applyAlignment="1" applyProtection="1">
      <alignment horizontal="right"/>
    </xf>
    <xf numFmtId="5" fontId="40" fillId="0" borderId="0" xfId="0" applyNumberFormat="1" applyFont="1" applyFill="1" applyBorder="1" applyAlignment="1"/>
    <xf numFmtId="5" fontId="44" fillId="0" borderId="18" xfId="0" applyNumberFormat="1" applyFont="1" applyFill="1" applyBorder="1" applyAlignment="1"/>
    <xf numFmtId="0" fontId="40" fillId="0" borderId="0" xfId="0" applyNumberFormat="1" applyFont="1" applyFill="1" applyBorder="1" applyAlignment="1" applyProtection="1"/>
    <xf numFmtId="5" fontId="44" fillId="0" borderId="0" xfId="0" applyNumberFormat="1" applyFont="1" applyFill="1" applyBorder="1" applyAlignment="1" applyProtection="1"/>
    <xf numFmtId="0" fontId="40" fillId="0" borderId="39" xfId="0" applyNumberFormat="1" applyFont="1" applyFill="1" applyBorder="1" applyAlignment="1" applyProtection="1"/>
    <xf numFmtId="5" fontId="40" fillId="0" borderId="39" xfId="0" applyNumberFormat="1" applyFont="1" applyFill="1" applyBorder="1" applyAlignment="1" applyProtection="1"/>
    <xf numFmtId="0" fontId="2" fillId="0" borderId="0" xfId="3" quotePrefix="1" applyAlignment="1" applyProtection="1"/>
    <xf numFmtId="0" fontId="45" fillId="0" borderId="0" xfId="0" applyFont="1"/>
    <xf numFmtId="0" fontId="46" fillId="0" borderId="0" xfId="0" applyFont="1"/>
    <xf numFmtId="0" fontId="4" fillId="0" borderId="0" xfId="0" applyNumberFormat="1" applyFont="1" applyFill="1" applyBorder="1" applyAlignment="1" applyProtection="1">
      <alignment horizontal="left"/>
    </xf>
    <xf numFmtId="0" fontId="4" fillId="0" borderId="0" xfId="0" applyNumberFormat="1" applyFont="1" applyFill="1" applyBorder="1" applyAlignment="1" applyProtection="1">
      <protection hidden="1"/>
    </xf>
    <xf numFmtId="0" fontId="43" fillId="0" borderId="2" xfId="0" applyNumberFormat="1" applyFont="1" applyFill="1" applyBorder="1" applyAlignment="1" applyProtection="1"/>
    <xf numFmtId="164" fontId="7" fillId="0" borderId="2" xfId="0" applyNumberFormat="1" applyFont="1" applyBorder="1" applyAlignment="1">
      <alignment horizontal="left"/>
    </xf>
    <xf numFmtId="0" fontId="47" fillId="0" borderId="0" xfId="0" applyNumberFormat="1" applyFont="1" applyFill="1" applyBorder="1" applyAlignment="1" applyProtection="1">
      <alignment horizontal="left"/>
      <protection hidden="1"/>
    </xf>
    <xf numFmtId="0" fontId="48" fillId="0" borderId="0" xfId="0" applyNumberFormat="1" applyFont="1" applyFill="1" applyBorder="1" applyAlignment="1" applyProtection="1">
      <protection hidden="1"/>
    </xf>
    <xf numFmtId="5" fontId="48" fillId="0" borderId="0" xfId="0" applyNumberFormat="1" applyFont="1" applyFill="1" applyBorder="1" applyAlignment="1" applyProtection="1">
      <protection hidden="1"/>
    </xf>
    <xf numFmtId="5" fontId="1" fillId="0" borderId="0" xfId="0" applyNumberFormat="1" applyFont="1" applyFill="1" applyBorder="1" applyAlignment="1" applyProtection="1">
      <alignment vertical="center" wrapText="1"/>
    </xf>
    <xf numFmtId="5" fontId="4" fillId="0" borderId="0" xfId="0" applyNumberFormat="1" applyFont="1" applyFill="1" applyBorder="1" applyAlignment="1" applyProtection="1">
      <alignment vertical="center" wrapText="1"/>
    </xf>
    <xf numFmtId="0" fontId="46" fillId="0" borderId="14" xfId="0" applyFont="1" applyBorder="1" applyAlignment="1" applyProtection="1">
      <alignment horizontal="center" vertical="center" wrapText="1"/>
      <protection hidden="1"/>
    </xf>
    <xf numFmtId="0" fontId="1" fillId="0" borderId="9" xfId="0" applyNumberFormat="1" applyFont="1" applyFill="1" applyBorder="1" applyAlignment="1" applyProtection="1">
      <alignment horizontal="right"/>
    </xf>
    <xf numFmtId="43" fontId="4" fillId="0" borderId="9" xfId="1" applyFont="1" applyBorder="1" applyAlignment="1" applyProtection="1">
      <alignment horizontal="right"/>
      <protection locked="0"/>
    </xf>
    <xf numFmtId="0" fontId="5" fillId="0" borderId="9" xfId="0" applyNumberFormat="1" applyFont="1" applyFill="1" applyBorder="1" applyAlignment="1" applyProtection="1">
      <alignment horizontal="right"/>
    </xf>
    <xf numFmtId="0" fontId="1" fillId="0" borderId="9" xfId="0" applyNumberFormat="1" applyFont="1" applyFill="1" applyBorder="1" applyAlignment="1" applyProtection="1"/>
    <xf numFmtId="5" fontId="5" fillId="0" borderId="9" xfId="0" applyNumberFormat="1" applyFont="1" applyFill="1" applyBorder="1" applyAlignment="1" applyProtection="1">
      <alignment horizontal="right"/>
    </xf>
    <xf numFmtId="0" fontId="1" fillId="0" borderId="9" xfId="0" quotePrefix="1" applyNumberFormat="1" applyFont="1" applyFill="1" applyBorder="1" applyAlignment="1" applyProtection="1">
      <alignment horizontal="right"/>
    </xf>
    <xf numFmtId="0" fontId="21" fillId="0" borderId="9" xfId="0" applyNumberFormat="1" applyFont="1" applyFill="1" applyBorder="1" applyAlignment="1" applyProtection="1"/>
    <xf numFmtId="0" fontId="21" fillId="0" borderId="11" xfId="0" applyNumberFormat="1" applyFont="1" applyFill="1" applyBorder="1" applyAlignment="1" applyProtection="1"/>
    <xf numFmtId="164" fontId="23" fillId="0" borderId="4" xfId="0" applyNumberFormat="1" applyFont="1" applyBorder="1" applyProtection="1">
      <protection hidden="1"/>
    </xf>
    <xf numFmtId="164" fontId="23" fillId="0" borderId="14" xfId="0" applyNumberFormat="1" applyFont="1" applyBorder="1" applyProtection="1">
      <protection hidden="1"/>
    </xf>
    <xf numFmtId="0" fontId="6" fillId="0" borderId="9" xfId="0" applyNumberFormat="1" applyFont="1" applyFill="1" applyBorder="1" applyAlignment="1" applyProtection="1"/>
    <xf numFmtId="164" fontId="1" fillId="0" borderId="0" xfId="0" applyNumberFormat="1" applyFont="1" applyBorder="1" applyAlignment="1">
      <alignment horizontal="center" vertical="center"/>
    </xf>
    <xf numFmtId="164" fontId="1" fillId="0" borderId="10" xfId="0" applyNumberFormat="1" applyFont="1" applyBorder="1" applyAlignment="1">
      <alignment horizontal="center" vertical="center"/>
    </xf>
    <xf numFmtId="0" fontId="7" fillId="0" borderId="9" xfId="0" applyNumberFormat="1" applyFont="1" applyFill="1" applyBorder="1" applyAlignment="1" applyProtection="1">
      <alignment horizontal="right"/>
    </xf>
    <xf numFmtId="0" fontId="1" fillId="0" borderId="40" xfId="1" applyNumberFormat="1" applyFont="1" applyBorder="1" applyAlignment="1" applyProtection="1">
      <alignment horizontal="center" vertical="center"/>
      <protection locked="0"/>
    </xf>
    <xf numFmtId="0" fontId="2" fillId="0" borderId="9" xfId="3" applyBorder="1" applyAlignment="1" applyProtection="1"/>
    <xf numFmtId="0" fontId="4" fillId="0" borderId="9" xfId="0" applyNumberFormat="1" applyFont="1" applyFill="1" applyBorder="1" applyAlignment="1" applyProtection="1">
      <alignment horizontal="right"/>
    </xf>
    <xf numFmtId="0" fontId="0" fillId="0" borderId="9" xfId="0" applyNumberFormat="1" applyFont="1" applyFill="1" applyBorder="1" applyAlignment="1" applyProtection="1">
      <alignment horizontal="right"/>
    </xf>
    <xf numFmtId="43" fontId="0" fillId="0" borderId="9" xfId="1" applyFont="1" applyBorder="1" applyAlignment="1" applyProtection="1">
      <alignment horizontal="right"/>
      <protection locked="0"/>
    </xf>
    <xf numFmtId="0" fontId="4" fillId="0" borderId="9" xfId="0" applyNumberFormat="1" applyFont="1" applyFill="1" applyBorder="1" applyAlignment="1" applyProtection="1"/>
    <xf numFmtId="0" fontId="0" fillId="0" borderId="9" xfId="0" applyNumberFormat="1" applyFont="1" applyFill="1" applyBorder="1" applyAlignment="1" applyProtection="1">
      <alignment horizontal="right" wrapText="1"/>
    </xf>
    <xf numFmtId="5" fontId="4" fillId="0" borderId="9" xfId="0" applyNumberFormat="1" applyFont="1" applyFill="1" applyBorder="1" applyAlignment="1" applyProtection="1">
      <alignment horizontal="right" wrapText="1"/>
    </xf>
    <xf numFmtId="5" fontId="1" fillId="0" borderId="9" xfId="0" applyNumberFormat="1" applyFont="1" applyFill="1" applyBorder="1" applyAlignment="1" applyProtection="1">
      <alignment horizontal="right" wrapText="1"/>
    </xf>
    <xf numFmtId="0" fontId="4" fillId="0" borderId="9" xfId="0" applyNumberFormat="1" applyFont="1" applyFill="1" applyBorder="1" applyAlignment="1" applyProtection="1">
      <alignment horizontal="right" wrapText="1"/>
    </xf>
    <xf numFmtId="0" fontId="4" fillId="0" borderId="9" xfId="0" applyNumberFormat="1" applyFont="1" applyFill="1" applyBorder="1" applyAlignment="1" applyProtection="1">
      <alignment horizontal="right" wrapText="1"/>
      <protection locked="0"/>
    </xf>
    <xf numFmtId="5" fontId="0" fillId="0" borderId="9" xfId="0" applyNumberFormat="1" applyFont="1" applyFill="1" applyBorder="1" applyAlignment="1" applyProtection="1">
      <alignment horizontal="right" wrapText="1"/>
    </xf>
    <xf numFmtId="0" fontId="1" fillId="0" borderId="9" xfId="0" applyNumberFormat="1" applyFont="1" applyFill="1" applyBorder="1" applyAlignment="1" applyProtection="1">
      <alignment horizontal="right" wrapText="1"/>
    </xf>
    <xf numFmtId="43" fontId="4" fillId="0" borderId="9" xfId="1" applyFont="1" applyBorder="1" applyAlignment="1" applyProtection="1">
      <alignment horizontal="right" wrapText="1"/>
      <protection locked="0"/>
    </xf>
    <xf numFmtId="164" fontId="23" fillId="0" borderId="4" xfId="0" applyNumberFormat="1" applyFont="1" applyBorder="1"/>
    <xf numFmtId="164" fontId="23" fillId="0" borderId="14" xfId="0" applyNumberFormat="1" applyFont="1" applyBorder="1"/>
    <xf numFmtId="0" fontId="4" fillId="0" borderId="9" xfId="0" applyNumberFormat="1" applyFont="1" applyFill="1" applyBorder="1" applyAlignment="1" applyProtection="1">
      <alignment horizontal="right"/>
      <protection locked="0"/>
    </xf>
    <xf numFmtId="0" fontId="4" fillId="0" borderId="9" xfId="0" applyFont="1" applyBorder="1" applyAlignment="1">
      <alignment horizontal="right"/>
    </xf>
    <xf numFmtId="0" fontId="1" fillId="0" borderId="9" xfId="0" applyNumberFormat="1" applyFont="1" applyFill="1" applyBorder="1" applyAlignment="1" applyProtection="1">
      <alignment horizontal="right"/>
      <protection locked="0"/>
    </xf>
    <xf numFmtId="0" fontId="20" fillId="0" borderId="9" xfId="0" applyNumberFormat="1" applyFont="1" applyFill="1" applyBorder="1" applyAlignment="1" applyProtection="1">
      <alignment horizontal="right" wrapText="1"/>
    </xf>
    <xf numFmtId="0" fontId="4" fillId="0" borderId="11" xfId="0" applyNumberFormat="1" applyFont="1" applyFill="1" applyBorder="1" applyAlignment="1" applyProtection="1"/>
    <xf numFmtId="164" fontId="4" fillId="0" borderId="4" xfId="0" applyNumberFormat="1" applyFont="1" applyBorder="1"/>
    <xf numFmtId="164" fontId="4" fillId="0" borderId="14" xfId="0" applyNumberFormat="1" applyFont="1" applyBorder="1"/>
    <xf numFmtId="166" fontId="4" fillId="0" borderId="0" xfId="2" applyNumberFormat="1" applyFont="1" applyBorder="1" applyProtection="1">
      <protection hidden="1"/>
    </xf>
    <xf numFmtId="166" fontId="4" fillId="0" borderId="0" xfId="1" applyNumberFormat="1" applyFont="1" applyBorder="1" applyProtection="1">
      <protection hidden="1"/>
    </xf>
    <xf numFmtId="166" fontId="5" fillId="0" borderId="2" xfId="1" applyNumberFormat="1" applyFont="1" applyBorder="1" applyProtection="1">
      <protection hidden="1"/>
    </xf>
    <xf numFmtId="166" fontId="4" fillId="0" borderId="0" xfId="0" applyNumberFormat="1" applyFont="1" applyFill="1" applyBorder="1" applyAlignment="1" applyProtection="1">
      <protection hidden="1"/>
    </xf>
    <xf numFmtId="166" fontId="4" fillId="0" borderId="0" xfId="0" applyNumberFormat="1" applyFont="1" applyBorder="1" applyProtection="1">
      <protection hidden="1"/>
    </xf>
    <xf numFmtId="166" fontId="4" fillId="0" borderId="2" xfId="2" applyNumberFormat="1" applyFont="1" applyBorder="1" applyProtection="1">
      <protection hidden="1"/>
    </xf>
    <xf numFmtId="166" fontId="4" fillId="0" borderId="1" xfId="2" applyNumberFormat="1" applyFont="1" applyBorder="1" applyProtection="1">
      <protection hidden="1"/>
    </xf>
    <xf numFmtId="166" fontId="5" fillId="0" borderId="38" xfId="0" applyNumberFormat="1" applyFont="1" applyFill="1" applyBorder="1" applyAlignment="1" applyProtection="1">
      <protection hidden="1"/>
    </xf>
    <xf numFmtId="166" fontId="4" fillId="0" borderId="38" xfId="0" applyNumberFormat="1" applyFont="1" applyFill="1" applyBorder="1" applyAlignment="1" applyProtection="1">
      <protection hidden="1"/>
    </xf>
    <xf numFmtId="166" fontId="4" fillId="0" borderId="0" xfId="0" applyNumberFormat="1" applyFont="1" applyFill="1" applyBorder="1" applyAlignment="1" applyProtection="1">
      <alignment horizontal="center"/>
      <protection hidden="1"/>
    </xf>
    <xf numFmtId="166" fontId="4" fillId="0" borderId="38" xfId="2" applyNumberFormat="1" applyFont="1" applyBorder="1" applyProtection="1">
      <protection hidden="1"/>
    </xf>
    <xf numFmtId="166" fontId="4" fillId="0" borderId="2" xfId="0" applyNumberFormat="1" applyFont="1" applyFill="1" applyBorder="1" applyAlignment="1" applyProtection="1">
      <protection hidden="1"/>
    </xf>
    <xf numFmtId="166" fontId="5" fillId="0" borderId="2" xfId="0" applyNumberFormat="1" applyFont="1" applyFill="1" applyBorder="1" applyAlignment="1" applyProtection="1">
      <protection hidden="1"/>
    </xf>
    <xf numFmtId="166" fontId="4" fillId="0" borderId="0" xfId="0" applyNumberFormat="1" applyFont="1" applyFill="1" applyBorder="1" applyAlignment="1" applyProtection="1"/>
    <xf numFmtId="166" fontId="5" fillId="0" borderId="2" xfId="0" applyNumberFormat="1" applyFont="1" applyFill="1" applyBorder="1" applyAlignment="1" applyProtection="1"/>
    <xf numFmtId="164" fontId="4" fillId="0" borderId="0" xfId="0" applyNumberFormat="1" applyFont="1" applyBorder="1" applyAlignment="1">
      <alignment horizontal="right"/>
    </xf>
    <xf numFmtId="166" fontId="4" fillId="0" borderId="0" xfId="0" applyNumberFormat="1" applyFont="1" applyBorder="1" applyAlignment="1" applyProtection="1">
      <alignment horizontal="right"/>
      <protection hidden="1"/>
    </xf>
    <xf numFmtId="166" fontId="4" fillId="0" borderId="0" xfId="0" applyNumberFormat="1" applyFont="1" applyFill="1" applyBorder="1" applyAlignment="1" applyProtection="1">
      <alignment horizontal="right"/>
      <protection hidden="1"/>
    </xf>
    <xf numFmtId="37" fontId="4" fillId="0" borderId="0" xfId="0" applyNumberFormat="1" applyFont="1" applyFill="1" applyBorder="1" applyAlignment="1" applyProtection="1">
      <alignment horizontal="right"/>
      <protection hidden="1"/>
    </xf>
    <xf numFmtId="9" fontId="22" fillId="0" borderId="0" xfId="4" applyFont="1" applyFill="1" applyBorder="1" applyAlignment="1" applyProtection="1">
      <alignment vertical="center"/>
      <protection locked="0"/>
    </xf>
    <xf numFmtId="166" fontId="22" fillId="0" borderId="0" xfId="2" applyNumberFormat="1" applyFont="1" applyFill="1" applyBorder="1" applyAlignment="1" applyProtection="1">
      <alignment vertical="center"/>
      <protection locked="0"/>
    </xf>
    <xf numFmtId="0" fontId="0" fillId="0" borderId="0" xfId="0" applyBorder="1" applyAlignment="1">
      <alignment horizontal="left"/>
    </xf>
    <xf numFmtId="164" fontId="49" fillId="0" borderId="0" xfId="0" applyNumberFormat="1" applyFont="1" applyProtection="1"/>
    <xf numFmtId="164" fontId="49" fillId="0" borderId="5" xfId="0" applyNumberFormat="1" applyFont="1" applyBorder="1" applyProtection="1"/>
    <xf numFmtId="164" fontId="49" fillId="0" borderId="15" xfId="0" applyNumberFormat="1" applyFont="1" applyBorder="1" applyAlignment="1" applyProtection="1">
      <alignment horizontal="center"/>
    </xf>
    <xf numFmtId="44" fontId="49" fillId="0" borderId="0" xfId="0" applyNumberFormat="1" applyFont="1" applyBorder="1" applyAlignment="1" applyProtection="1">
      <alignment horizontal="center"/>
      <protection hidden="1"/>
    </xf>
    <xf numFmtId="43" fontId="49" fillId="0" borderId="0" xfId="1" applyNumberFormat="1" applyFont="1" applyBorder="1" applyAlignment="1" applyProtection="1">
      <alignment horizontal="center"/>
      <protection hidden="1"/>
    </xf>
    <xf numFmtId="44" fontId="49" fillId="0" borderId="2" xfId="2" applyNumberFormat="1" applyFont="1" applyBorder="1" applyProtection="1"/>
    <xf numFmtId="43" fontId="49" fillId="0" borderId="0" xfId="1" applyNumberFormat="1" applyFont="1" applyBorder="1" applyAlignment="1" applyProtection="1">
      <alignment horizontal="center"/>
    </xf>
    <xf numFmtId="43" fontId="49" fillId="0" borderId="4" xfId="1" applyNumberFormat="1" applyFont="1" applyBorder="1" applyAlignment="1" applyProtection="1">
      <alignment horizontal="center"/>
    </xf>
    <xf numFmtId="44" fontId="49" fillId="0" borderId="4" xfId="2" applyFont="1" applyBorder="1" applyProtection="1"/>
    <xf numFmtId="164" fontId="49" fillId="0" borderId="22" xfId="0" applyNumberFormat="1" applyFont="1" applyBorder="1" applyAlignment="1" applyProtection="1">
      <alignment horizontal="center"/>
    </xf>
    <xf numFmtId="43" fontId="49" fillId="0" borderId="0" xfId="1" applyFont="1" applyBorder="1" applyAlignment="1" applyProtection="1">
      <alignment horizontal="center"/>
    </xf>
    <xf numFmtId="0" fontId="49" fillId="0" borderId="0" xfId="0" applyNumberFormat="1" applyFont="1" applyFill="1" applyBorder="1" applyAlignment="1" applyProtection="1">
      <alignment horizontal="center"/>
    </xf>
    <xf numFmtId="43" fontId="49" fillId="0" borderId="0" xfId="1" applyFont="1" applyBorder="1" applyProtection="1"/>
    <xf numFmtId="43" fontId="49" fillId="0" borderId="4" xfId="1" applyFont="1" applyBorder="1" applyAlignment="1" applyProtection="1">
      <alignment horizontal="center"/>
    </xf>
    <xf numFmtId="0" fontId="49" fillId="0" borderId="4" xfId="0" applyNumberFormat="1" applyFont="1" applyFill="1" applyBorder="1" applyAlignment="1" applyProtection="1"/>
    <xf numFmtId="164" fontId="49" fillId="0" borderId="4" xfId="0" applyNumberFormat="1" applyFont="1" applyBorder="1" applyProtection="1"/>
    <xf numFmtId="44" fontId="49" fillId="0" borderId="0" xfId="0" applyNumberFormat="1" applyFont="1" applyBorder="1" applyProtection="1"/>
    <xf numFmtId="43" fontId="49" fillId="0" borderId="4" xfId="0" applyNumberFormat="1" applyFont="1" applyBorder="1" applyProtection="1"/>
    <xf numFmtId="44" fontId="33" fillId="0" borderId="0" xfId="0" applyNumberFormat="1" applyFont="1" applyBorder="1" applyProtection="1"/>
    <xf numFmtId="164" fontId="49" fillId="0" borderId="0" xfId="0" applyNumberFormat="1" applyFont="1" applyBorder="1" applyProtection="1"/>
    <xf numFmtId="44" fontId="33" fillId="0" borderId="4" xfId="0" applyNumberFormat="1" applyFont="1" applyBorder="1" applyProtection="1"/>
    <xf numFmtId="43" fontId="49" fillId="0" borderId="0" xfId="1" applyNumberFormat="1" applyFont="1" applyBorder="1" applyProtection="1"/>
    <xf numFmtId="43" fontId="49" fillId="0" borderId="0" xfId="0" applyNumberFormat="1" applyFont="1" applyBorder="1" applyProtection="1"/>
    <xf numFmtId="44" fontId="49" fillId="0" borderId="0" xfId="1" applyNumberFormat="1" applyFont="1" applyBorder="1" applyProtection="1"/>
    <xf numFmtId="43" fontId="49" fillId="0" borderId="4" xfId="1" applyNumberFormat="1" applyFont="1" applyBorder="1" applyProtection="1"/>
    <xf numFmtId="0" fontId="49" fillId="0" borderId="0" xfId="0" applyNumberFormat="1" applyFont="1" applyFill="1" applyBorder="1" applyAlignment="1" applyProtection="1"/>
    <xf numFmtId="43" fontId="49" fillId="0" borderId="4" xfId="1" applyFont="1" applyBorder="1" applyProtection="1"/>
    <xf numFmtId="44" fontId="47" fillId="0" borderId="0" xfId="0" applyNumberFormat="1" applyFont="1" applyBorder="1" applyProtection="1"/>
    <xf numFmtId="164" fontId="50" fillId="0" borderId="0" xfId="0" applyNumberFormat="1" applyFont="1" applyBorder="1" applyProtection="1"/>
    <xf numFmtId="164" fontId="50" fillId="0" borderId="4" xfId="0" applyNumberFormat="1" applyFont="1" applyBorder="1" applyProtection="1"/>
    <xf numFmtId="164" fontId="49" fillId="0" borderId="0" xfId="0" applyNumberFormat="1" applyFont="1"/>
    <xf numFmtId="0" fontId="23" fillId="0" borderId="42" xfId="0" applyFont="1" applyBorder="1" applyProtection="1">
      <protection locked="0"/>
    </xf>
    <xf numFmtId="0" fontId="23" fillId="0" borderId="43" xfId="0" applyFont="1" applyBorder="1" applyProtection="1">
      <protection locked="0"/>
    </xf>
    <xf numFmtId="0" fontId="23" fillId="0" borderId="44" xfId="0" applyFont="1" applyBorder="1" applyAlignment="1" applyProtection="1">
      <alignment horizontal="left"/>
      <protection locked="0"/>
    </xf>
    <xf numFmtId="0" fontId="23" fillId="0" borderId="42" xfId="0" applyFont="1" applyBorder="1" applyAlignment="1" applyProtection="1">
      <alignment horizontal="center"/>
      <protection locked="0"/>
    </xf>
    <xf numFmtId="0" fontId="5" fillId="0" borderId="8" xfId="0" applyFont="1" applyBorder="1" applyAlignment="1" applyProtection="1">
      <alignment horizontal="center" vertical="center"/>
      <protection locked="0"/>
    </xf>
    <xf numFmtId="0" fontId="5" fillId="0" borderId="8" xfId="0" applyFont="1" applyBorder="1" applyAlignment="1" applyProtection="1">
      <alignment horizontal="center" vertical="center" wrapText="1"/>
      <protection locked="0"/>
    </xf>
    <xf numFmtId="5" fontId="33" fillId="10" borderId="20" xfId="0" applyNumberFormat="1" applyFont="1" applyFill="1" applyBorder="1" applyAlignment="1">
      <alignment vertical="center" wrapText="1"/>
    </xf>
    <xf numFmtId="5" fontId="33" fillId="10" borderId="21" xfId="0" applyNumberFormat="1" applyFont="1" applyFill="1" applyBorder="1" applyAlignment="1">
      <alignment vertical="center" wrapText="1"/>
    </xf>
    <xf numFmtId="5" fontId="33" fillId="10" borderId="21" xfId="0" applyNumberFormat="1" applyFont="1" applyFill="1" applyBorder="1" applyAlignment="1">
      <alignment horizontal="center" vertical="center" wrapText="1"/>
    </xf>
    <xf numFmtId="0" fontId="33" fillId="10" borderId="0" xfId="0" applyNumberFormat="1" applyFont="1" applyFill="1" applyBorder="1" applyAlignment="1">
      <alignment horizontal="center" vertical="center" wrapText="1"/>
    </xf>
    <xf numFmtId="0" fontId="48" fillId="11" borderId="0" xfId="0" applyFont="1" applyFill="1" applyProtection="1">
      <protection hidden="1"/>
    </xf>
    <xf numFmtId="0" fontId="48" fillId="11" borderId="0" xfId="0" applyFont="1" applyFill="1" applyAlignment="1" applyProtection="1">
      <alignment vertical="center"/>
      <protection hidden="1"/>
    </xf>
    <xf numFmtId="0" fontId="0" fillId="0" borderId="0" xfId="0" applyAlignment="1">
      <alignment horizontal="right" vertical="center"/>
    </xf>
    <xf numFmtId="165" fontId="23" fillId="0" borderId="0" xfId="0" applyNumberFormat="1" applyFont="1" applyAlignment="1">
      <alignment horizontal="center"/>
    </xf>
    <xf numFmtId="164" fontId="0" fillId="0" borderId="0" xfId="0" applyNumberFormat="1" applyFont="1" applyFill="1" applyBorder="1" applyAlignment="1" applyProtection="1">
      <alignment horizontal="center"/>
    </xf>
    <xf numFmtId="0" fontId="0" fillId="0" borderId="0" xfId="0" applyNumberFormat="1" applyFont="1" applyFill="1" applyBorder="1" applyAlignment="1">
      <alignment horizontal="right"/>
    </xf>
    <xf numFmtId="44" fontId="0" fillId="0" borderId="0" xfId="1" applyNumberFormat="1" applyFont="1" applyFill="1" applyBorder="1"/>
    <xf numFmtId="5" fontId="22" fillId="0" borderId="0" xfId="0" applyNumberFormat="1" applyFont="1" applyFill="1" applyBorder="1" applyAlignment="1">
      <alignment horizontal="left"/>
    </xf>
    <xf numFmtId="0" fontId="52" fillId="0" borderId="0" xfId="0" applyNumberFormat="1" applyFont="1" applyFill="1" applyBorder="1" applyAlignment="1" applyProtection="1">
      <alignment horizontal="right"/>
    </xf>
    <xf numFmtId="44" fontId="31" fillId="0" borderId="0" xfId="2" applyFont="1" applyBorder="1" applyProtection="1"/>
    <xf numFmtId="44" fontId="31" fillId="0" borderId="0" xfId="2" applyFont="1" applyBorder="1"/>
    <xf numFmtId="44" fontId="53" fillId="0" borderId="17" xfId="2" applyNumberFormat="1" applyFont="1" applyFill="1" applyBorder="1"/>
    <xf numFmtId="44" fontId="53" fillId="0" borderId="17" xfId="1" applyNumberFormat="1" applyFont="1" applyFill="1" applyBorder="1"/>
    <xf numFmtId="44" fontId="5" fillId="0" borderId="0" xfId="2" applyFont="1" applyBorder="1" applyProtection="1"/>
    <xf numFmtId="44" fontId="5" fillId="0" borderId="17" xfId="2" applyNumberFormat="1" applyFont="1" applyFill="1" applyBorder="1"/>
    <xf numFmtId="43" fontId="31" fillId="0" borderId="0" xfId="1" applyFont="1" applyBorder="1" applyProtection="1"/>
    <xf numFmtId="44" fontId="31" fillId="0" borderId="0" xfId="2" applyFont="1" applyFill="1" applyBorder="1" applyProtection="1"/>
    <xf numFmtId="0" fontId="23" fillId="0" borderId="0" xfId="0" applyNumberFormat="1" applyFont="1" applyFill="1" applyBorder="1" applyAlignment="1" applyProtection="1">
      <alignment horizontal="center"/>
      <protection hidden="1"/>
    </xf>
    <xf numFmtId="0" fontId="21" fillId="0" borderId="0" xfId="0" applyNumberFormat="1" applyFont="1" applyFill="1" applyBorder="1" applyAlignment="1" applyProtection="1">
      <alignment horizontal="center"/>
      <protection hidden="1"/>
    </xf>
    <xf numFmtId="0" fontId="21" fillId="0" borderId="0" xfId="0" applyNumberFormat="1" applyFont="1" applyFill="1" applyBorder="1" applyAlignment="1" applyProtection="1">
      <alignment horizontal="left"/>
    </xf>
    <xf numFmtId="0" fontId="1" fillId="0" borderId="0" xfId="0" applyNumberFormat="1" applyFont="1" applyFill="1" applyBorder="1" applyAlignment="1" applyProtection="1">
      <alignment horizontal="center"/>
    </xf>
    <xf numFmtId="0" fontId="4" fillId="0" borderId="30" xfId="0" applyNumberFormat="1" applyFont="1" applyFill="1" applyBorder="1" applyAlignment="1" applyProtection="1">
      <alignment horizontal="right"/>
    </xf>
    <xf numFmtId="0" fontId="4" fillId="0" borderId="29" xfId="0" applyNumberFormat="1" applyFont="1" applyFill="1" applyBorder="1" applyAlignment="1" applyProtection="1"/>
    <xf numFmtId="0" fontId="1" fillId="0" borderId="30" xfId="0" applyNumberFormat="1" applyFont="1" applyFill="1" applyBorder="1" applyAlignment="1" applyProtection="1">
      <alignment horizontal="center"/>
    </xf>
    <xf numFmtId="0" fontId="21" fillId="0" borderId="29" xfId="0" applyNumberFormat="1" applyFont="1" applyFill="1" applyBorder="1" applyAlignment="1" applyProtection="1">
      <alignment horizontal="left"/>
    </xf>
    <xf numFmtId="0" fontId="4" fillId="0" borderId="30" xfId="0" applyNumberFormat="1" applyFont="1" applyFill="1" applyBorder="1" applyAlignment="1" applyProtection="1">
      <alignment horizontal="center"/>
    </xf>
    <xf numFmtId="0" fontId="5" fillId="0" borderId="29" xfId="0" applyNumberFormat="1" applyFont="1" applyFill="1" applyBorder="1" applyAlignment="1" applyProtection="1">
      <alignment horizontal="left"/>
    </xf>
    <xf numFmtId="44" fontId="4" fillId="0" borderId="30" xfId="2" applyFont="1" applyFill="1" applyBorder="1" applyAlignment="1" applyProtection="1">
      <alignment horizontal="right"/>
      <protection locked="0"/>
    </xf>
    <xf numFmtId="0" fontId="1" fillId="0" borderId="29" xfId="0" applyNumberFormat="1" applyFont="1" applyFill="1" applyBorder="1" applyAlignment="1" applyProtection="1">
      <alignment horizontal="right"/>
    </xf>
    <xf numFmtId="166" fontId="4" fillId="0" borderId="30" xfId="2" applyNumberFormat="1" applyFont="1" applyBorder="1" applyAlignment="1" applyProtection="1">
      <alignment horizontal="right"/>
      <protection locked="0"/>
    </xf>
    <xf numFmtId="37" fontId="4" fillId="0" borderId="30" xfId="1" applyNumberFormat="1" applyFont="1" applyBorder="1" applyAlignment="1" applyProtection="1">
      <alignment horizontal="right"/>
      <protection locked="0"/>
    </xf>
    <xf numFmtId="43" fontId="4" fillId="0" borderId="29" xfId="1" applyFont="1" applyBorder="1" applyAlignment="1" applyProtection="1">
      <alignment horizontal="right"/>
      <protection locked="0"/>
    </xf>
    <xf numFmtId="0" fontId="5" fillId="0" borderId="45" xfId="0" applyNumberFormat="1" applyFont="1" applyFill="1" applyBorder="1" applyAlignment="1" applyProtection="1">
      <alignment horizontal="right"/>
    </xf>
    <xf numFmtId="37" fontId="4" fillId="0" borderId="46" xfId="1" applyNumberFormat="1" applyFont="1" applyBorder="1" applyAlignment="1" applyProtection="1">
      <alignment horizontal="right"/>
      <protection hidden="1"/>
    </xf>
    <xf numFmtId="166" fontId="4" fillId="0" borderId="30" xfId="0" applyNumberFormat="1" applyFont="1" applyFill="1" applyBorder="1" applyAlignment="1" applyProtection="1">
      <alignment horizontal="right"/>
      <protection hidden="1"/>
    </xf>
    <xf numFmtId="0" fontId="0" fillId="0" borderId="29" xfId="0" applyNumberFormat="1" applyFont="1" applyFill="1" applyBorder="1" applyAlignment="1" applyProtection="1">
      <alignment horizontal="right" wrapText="1"/>
    </xf>
    <xf numFmtId="5" fontId="4" fillId="0" borderId="29" xfId="0" applyNumberFormat="1" applyFont="1" applyFill="1" applyBorder="1" applyAlignment="1" applyProtection="1">
      <alignment horizontal="right" wrapText="1"/>
    </xf>
    <xf numFmtId="5" fontId="1" fillId="0" borderId="29" xfId="0" applyNumberFormat="1" applyFont="1" applyFill="1" applyBorder="1" applyAlignment="1" applyProtection="1">
      <alignment horizontal="right" wrapText="1"/>
    </xf>
    <xf numFmtId="0" fontId="4" fillId="0" borderId="29" xfId="0" applyNumberFormat="1" applyFont="1" applyFill="1" applyBorder="1" applyAlignment="1" applyProtection="1">
      <alignment horizontal="right" wrapText="1"/>
    </xf>
    <xf numFmtId="0" fontId="4" fillId="0" borderId="29" xfId="0" applyNumberFormat="1" applyFont="1" applyFill="1" applyBorder="1" applyAlignment="1" applyProtection="1">
      <alignment horizontal="right" wrapText="1"/>
      <protection locked="0"/>
    </xf>
    <xf numFmtId="37" fontId="4" fillId="0" borderId="30" xfId="1" applyNumberFormat="1" applyFont="1" applyFill="1" applyBorder="1" applyAlignment="1" applyProtection="1">
      <alignment horizontal="right"/>
      <protection locked="0"/>
    </xf>
    <xf numFmtId="5" fontId="0" fillId="0" borderId="29" xfId="0" applyNumberFormat="1" applyFont="1" applyFill="1" applyBorder="1" applyAlignment="1" applyProtection="1">
      <alignment horizontal="right" wrapText="1"/>
    </xf>
    <xf numFmtId="0" fontId="1" fillId="0" borderId="29" xfId="0" applyNumberFormat="1" applyFont="1" applyFill="1" applyBorder="1" applyAlignment="1" applyProtection="1">
      <alignment horizontal="right" wrapText="1"/>
    </xf>
    <xf numFmtId="43" fontId="4" fillId="0" borderId="29" xfId="1" applyFont="1" applyBorder="1" applyAlignment="1" applyProtection="1">
      <alignment horizontal="right" wrapText="1"/>
      <protection locked="0"/>
    </xf>
    <xf numFmtId="5" fontId="5" fillId="0" borderId="45" xfId="0" applyNumberFormat="1" applyFont="1" applyFill="1" applyBorder="1" applyAlignment="1" applyProtection="1">
      <alignment horizontal="right"/>
    </xf>
    <xf numFmtId="5" fontId="5" fillId="0" borderId="47" xfId="0" applyNumberFormat="1" applyFont="1" applyFill="1" applyBorder="1" applyAlignment="1" applyProtection="1">
      <alignment horizontal="right"/>
    </xf>
    <xf numFmtId="37" fontId="4" fillId="0" borderId="48" xfId="1" applyNumberFormat="1" applyFont="1" applyBorder="1" applyAlignment="1" applyProtection="1">
      <alignment horizontal="right"/>
      <protection hidden="1"/>
    </xf>
    <xf numFmtId="5" fontId="5" fillId="0" borderId="29" xfId="0" applyNumberFormat="1" applyFont="1" applyFill="1" applyBorder="1" applyAlignment="1" applyProtection="1">
      <alignment horizontal="right"/>
    </xf>
    <xf numFmtId="37" fontId="4" fillId="0" borderId="30" xfId="0" applyNumberFormat="1" applyFont="1" applyBorder="1" applyAlignment="1" applyProtection="1">
      <alignment horizontal="right"/>
      <protection hidden="1"/>
    </xf>
    <xf numFmtId="164" fontId="7" fillId="0" borderId="49" xfId="0" applyNumberFormat="1" applyFont="1" applyBorder="1" applyAlignment="1">
      <alignment horizontal="left"/>
    </xf>
    <xf numFmtId="37" fontId="5" fillId="0" borderId="50" xfId="0" applyNumberFormat="1" applyFont="1" applyFill="1" applyBorder="1" applyAlignment="1" applyProtection="1">
      <alignment horizontal="right"/>
      <protection hidden="1"/>
    </xf>
    <xf numFmtId="0" fontId="5" fillId="0" borderId="29" xfId="0" applyNumberFormat="1" applyFont="1" applyFill="1" applyBorder="1" applyAlignment="1" applyProtection="1"/>
    <xf numFmtId="0" fontId="1" fillId="0" borderId="29" xfId="0" applyNumberFormat="1" applyFont="1" applyFill="1" applyBorder="1" applyAlignment="1" applyProtection="1">
      <alignment horizontal="right"/>
      <protection locked="0"/>
    </xf>
    <xf numFmtId="37" fontId="4" fillId="0" borderId="30" xfId="2" applyNumberFormat="1" applyFont="1" applyBorder="1" applyAlignment="1" applyProtection="1">
      <alignment horizontal="right"/>
      <protection locked="0"/>
    </xf>
    <xf numFmtId="0" fontId="1" fillId="0" borderId="29" xfId="0" quotePrefix="1" applyNumberFormat="1" applyFont="1" applyFill="1" applyBorder="1" applyAlignment="1" applyProtection="1">
      <alignment horizontal="right"/>
    </xf>
    <xf numFmtId="0" fontId="1" fillId="0" borderId="29" xfId="0" applyFont="1" applyBorder="1" applyAlignment="1">
      <alignment horizontal="right"/>
    </xf>
    <xf numFmtId="37" fontId="4" fillId="0" borderId="30" xfId="1" applyNumberFormat="1" applyFont="1" applyBorder="1" applyAlignment="1" applyProtection="1">
      <alignment horizontal="right"/>
      <protection hidden="1"/>
    </xf>
    <xf numFmtId="0" fontId="43" fillId="0" borderId="45" xfId="0" applyNumberFormat="1" applyFont="1" applyFill="1" applyBorder="1" applyAlignment="1" applyProtection="1"/>
    <xf numFmtId="37" fontId="4" fillId="0" borderId="46" xfId="2" applyNumberFormat="1" applyFont="1" applyBorder="1" applyAlignment="1" applyProtection="1">
      <alignment horizontal="right"/>
      <protection hidden="1"/>
    </xf>
    <xf numFmtId="37" fontId="4" fillId="0" borderId="30" xfId="0" applyNumberFormat="1" applyFont="1" applyFill="1" applyBorder="1" applyAlignment="1" applyProtection="1">
      <alignment horizontal="right"/>
      <protection hidden="1"/>
    </xf>
    <xf numFmtId="166" fontId="4" fillId="0" borderId="30" xfId="0" applyNumberFormat="1" applyFont="1" applyFill="1" applyBorder="1" applyAlignment="1" applyProtection="1">
      <alignment horizontal="center"/>
      <protection hidden="1"/>
    </xf>
    <xf numFmtId="5" fontId="5" fillId="0" borderId="49" xfId="0" applyNumberFormat="1" applyFont="1" applyFill="1" applyBorder="1" applyAlignment="1" applyProtection="1">
      <alignment horizontal="right"/>
    </xf>
    <xf numFmtId="37" fontId="4" fillId="0" borderId="50" xfId="1" applyNumberFormat="1" applyFont="1" applyBorder="1" applyAlignment="1" applyProtection="1">
      <alignment horizontal="right"/>
      <protection hidden="1"/>
    </xf>
    <xf numFmtId="37" fontId="4" fillId="0" borderId="46" xfId="0" applyNumberFormat="1" applyFont="1" applyFill="1" applyBorder="1" applyAlignment="1" applyProtection="1">
      <alignment horizontal="right"/>
      <protection hidden="1"/>
    </xf>
    <xf numFmtId="0" fontId="4" fillId="0" borderId="29" xfId="0" applyNumberFormat="1" applyFont="1" applyFill="1" applyBorder="1" applyAlignment="1" applyProtection="1">
      <alignment horizontal="right"/>
      <protection locked="0"/>
    </xf>
    <xf numFmtId="0" fontId="20" fillId="0" borderId="29" xfId="0" applyNumberFormat="1" applyFont="1" applyFill="1" applyBorder="1" applyAlignment="1" applyProtection="1">
      <alignment horizontal="right" wrapText="1"/>
    </xf>
    <xf numFmtId="164" fontId="7" fillId="0" borderId="45" xfId="0" applyNumberFormat="1" applyFont="1" applyBorder="1" applyAlignment="1">
      <alignment horizontal="left"/>
    </xf>
    <xf numFmtId="37" fontId="5" fillId="0" borderId="46" xfId="0" applyNumberFormat="1" applyFont="1" applyFill="1" applyBorder="1" applyAlignment="1" applyProtection="1">
      <alignment horizontal="right"/>
      <protection hidden="1"/>
    </xf>
    <xf numFmtId="166" fontId="4" fillId="0" borderId="30" xfId="0" applyNumberFormat="1" applyFont="1" applyFill="1" applyBorder="1" applyAlignment="1" applyProtection="1">
      <alignment horizontal="right"/>
    </xf>
    <xf numFmtId="37" fontId="5" fillId="0" borderId="46" xfId="0" applyNumberFormat="1" applyFont="1" applyFill="1" applyBorder="1" applyAlignment="1" applyProtection="1">
      <alignment horizontal="right"/>
    </xf>
    <xf numFmtId="164" fontId="7" fillId="0" borderId="33" xfId="0" applyNumberFormat="1" applyFont="1" applyBorder="1" applyAlignment="1">
      <alignment horizontal="left"/>
    </xf>
    <xf numFmtId="164" fontId="7" fillId="0" borderId="22" xfId="0" applyNumberFormat="1" applyFont="1" applyBorder="1" applyAlignment="1">
      <alignment horizontal="left"/>
    </xf>
    <xf numFmtId="166" fontId="4" fillId="0" borderId="22" xfId="0" applyNumberFormat="1" applyFont="1" applyFill="1" applyBorder="1" applyAlignment="1" applyProtection="1">
      <protection hidden="1"/>
    </xf>
    <xf numFmtId="37" fontId="5" fillId="0" borderId="34" xfId="0" applyNumberFormat="1" applyFont="1" applyFill="1" applyBorder="1" applyAlignment="1" applyProtection="1">
      <alignment horizontal="right"/>
      <protection hidden="1"/>
    </xf>
    <xf numFmtId="0" fontId="21" fillId="0" borderId="35" xfId="0" applyNumberFormat="1" applyFont="1" applyFill="1" applyBorder="1" applyAlignment="1" applyProtection="1">
      <alignment horizontal="left"/>
    </xf>
    <xf numFmtId="0" fontId="21" fillId="0" borderId="36" xfId="0" applyNumberFormat="1" applyFont="1" applyFill="1" applyBorder="1" applyAlignment="1" applyProtection="1">
      <alignment horizontal="left"/>
    </xf>
    <xf numFmtId="166" fontId="4" fillId="0" borderId="36" xfId="0" applyNumberFormat="1" applyFont="1" applyFill="1" applyBorder="1" applyAlignment="1" applyProtection="1">
      <alignment horizontal="center"/>
      <protection hidden="1"/>
    </xf>
    <xf numFmtId="166" fontId="4" fillId="0" borderId="37" xfId="0" applyNumberFormat="1" applyFont="1" applyFill="1" applyBorder="1" applyAlignment="1" applyProtection="1">
      <alignment horizontal="center"/>
      <protection hidden="1"/>
    </xf>
    <xf numFmtId="0" fontId="1" fillId="0" borderId="37" xfId="0" applyNumberFormat="1" applyFont="1" applyFill="1" applyBorder="1" applyAlignment="1" applyProtection="1">
      <alignment horizontal="center"/>
    </xf>
    <xf numFmtId="0" fontId="4" fillId="0" borderId="22" xfId="0" applyNumberFormat="1" applyFont="1" applyFill="1" applyBorder="1" applyAlignment="1" applyProtection="1"/>
    <xf numFmtId="166" fontId="4" fillId="0" borderId="22" xfId="2" applyNumberFormat="1" applyFont="1" applyBorder="1" applyProtection="1">
      <protection hidden="1"/>
    </xf>
    <xf numFmtId="166" fontId="4" fillId="0" borderId="22" xfId="0" applyNumberFormat="1" applyFont="1" applyBorder="1" applyAlignment="1" applyProtection="1">
      <alignment horizontal="right"/>
      <protection hidden="1"/>
    </xf>
    <xf numFmtId="0" fontId="4" fillId="0" borderId="22" xfId="0" applyNumberFormat="1" applyFont="1" applyFill="1" applyBorder="1" applyAlignment="1" applyProtection="1">
      <alignment horizontal="right"/>
    </xf>
    <xf numFmtId="0" fontId="3" fillId="0" borderId="22" xfId="0" applyNumberFormat="1" applyFont="1" applyFill="1" applyBorder="1" applyAlignment="1" applyProtection="1">
      <alignment horizontal="right" vertical="top"/>
    </xf>
    <xf numFmtId="164" fontId="10" fillId="0" borderId="22" xfId="0" applyNumberFormat="1" applyFont="1" applyBorder="1" applyAlignment="1">
      <alignment horizontal="right"/>
    </xf>
    <xf numFmtId="167" fontId="12" fillId="12" borderId="10" xfId="1" applyNumberFormat="1" applyFont="1" applyFill="1" applyBorder="1" applyProtection="1">
      <protection locked="0" hidden="1"/>
    </xf>
    <xf numFmtId="37" fontId="4" fillId="0" borderId="30" xfId="1" applyNumberFormat="1" applyFont="1" applyBorder="1" applyAlignment="1" applyProtection="1">
      <alignment horizontal="right"/>
    </xf>
    <xf numFmtId="167" fontId="4" fillId="0" borderId="0" xfId="2" applyNumberFormat="1" applyFont="1" applyBorder="1" applyProtection="1">
      <protection locked="0"/>
    </xf>
    <xf numFmtId="167" fontId="4" fillId="0" borderId="10" xfId="2" applyNumberFormat="1" applyFont="1" applyBorder="1" applyProtection="1">
      <protection locked="0"/>
    </xf>
    <xf numFmtId="167" fontId="4" fillId="0" borderId="0" xfId="1" applyNumberFormat="1" applyFont="1" applyBorder="1" applyProtection="1">
      <protection locked="0"/>
    </xf>
    <xf numFmtId="167" fontId="4" fillId="0" borderId="10" xfId="1" applyNumberFormat="1" applyFont="1" applyBorder="1" applyProtection="1">
      <protection locked="0"/>
    </xf>
    <xf numFmtId="167" fontId="4" fillId="0" borderId="2" xfId="1" applyNumberFormat="1" applyFont="1" applyBorder="1"/>
    <xf numFmtId="167" fontId="4" fillId="0" borderId="13" xfId="1" applyNumberFormat="1" applyFont="1" applyBorder="1"/>
    <xf numFmtId="167" fontId="4" fillId="0" borderId="0" xfId="0" applyNumberFormat="1" applyFont="1" applyBorder="1"/>
    <xf numFmtId="167" fontId="4" fillId="0" borderId="10" xfId="0" applyNumberFormat="1" applyFont="1" applyBorder="1"/>
    <xf numFmtId="167" fontId="4" fillId="0" borderId="0" xfId="1" applyNumberFormat="1" applyFont="1" applyBorder="1"/>
    <xf numFmtId="167" fontId="8" fillId="0" borderId="10" xfId="0" applyNumberFormat="1" applyFont="1" applyBorder="1"/>
    <xf numFmtId="167" fontId="9" fillId="0" borderId="1" xfId="0" applyNumberFormat="1" applyFont="1" applyFill="1" applyBorder="1" applyAlignment="1" applyProtection="1"/>
    <xf numFmtId="167" fontId="9" fillId="0" borderId="12" xfId="0" applyNumberFormat="1" applyFont="1" applyFill="1" applyBorder="1" applyAlignment="1" applyProtection="1"/>
    <xf numFmtId="167" fontId="4" fillId="2" borderId="0" xfId="0" applyNumberFormat="1" applyFont="1" applyFill="1" applyBorder="1" applyProtection="1">
      <protection hidden="1"/>
    </xf>
    <xf numFmtId="167" fontId="4" fillId="2" borderId="10" xfId="0" applyNumberFormat="1" applyFont="1" applyFill="1" applyBorder="1" applyProtection="1">
      <protection hidden="1"/>
    </xf>
    <xf numFmtId="167" fontId="23" fillId="0" borderId="1" xfId="0" applyNumberFormat="1" applyFont="1" applyBorder="1"/>
    <xf numFmtId="167" fontId="4" fillId="0" borderId="2" xfId="1" applyNumberFormat="1" applyFont="1" applyBorder="1" applyProtection="1">
      <protection hidden="1"/>
    </xf>
    <xf numFmtId="167" fontId="4" fillId="0" borderId="13" xfId="1" applyNumberFormat="1" applyFont="1" applyBorder="1" applyProtection="1">
      <protection hidden="1"/>
    </xf>
    <xf numFmtId="167" fontId="4" fillId="0" borderId="2" xfId="0" applyNumberFormat="1" applyFont="1" applyBorder="1" applyProtection="1">
      <protection hidden="1"/>
    </xf>
    <xf numFmtId="167" fontId="4" fillId="0" borderId="13" xfId="0" applyNumberFormat="1" applyFont="1" applyBorder="1" applyProtection="1">
      <protection hidden="1"/>
    </xf>
    <xf numFmtId="167" fontId="1" fillId="0" borderId="10" xfId="0" applyNumberFormat="1" applyFont="1" applyBorder="1"/>
    <xf numFmtId="167" fontId="4" fillId="0" borderId="0" xfId="0" applyNumberFormat="1" applyFont="1" applyBorder="1" applyProtection="1">
      <protection hidden="1"/>
    </xf>
    <xf numFmtId="167" fontId="4" fillId="0" borderId="10" xfId="0" applyNumberFormat="1" applyFont="1" applyBorder="1" applyProtection="1">
      <protection hidden="1"/>
    </xf>
    <xf numFmtId="167" fontId="23" fillId="0" borderId="1" xfId="0" applyNumberFormat="1" applyFont="1" applyBorder="1" applyProtection="1">
      <protection hidden="1"/>
    </xf>
    <xf numFmtId="167" fontId="23" fillId="0" borderId="12" xfId="0" applyNumberFormat="1" applyFont="1" applyBorder="1" applyProtection="1">
      <protection hidden="1"/>
    </xf>
    <xf numFmtId="167" fontId="9" fillId="0" borderId="38" xfId="2" applyNumberFormat="1" applyFont="1" applyBorder="1"/>
    <xf numFmtId="167" fontId="9" fillId="0" borderId="41" xfId="2" applyNumberFormat="1" applyFont="1" applyBorder="1"/>
    <xf numFmtId="164" fontId="1" fillId="0" borderId="51" xfId="0" applyNumberFormat="1" applyFont="1" applyBorder="1" applyAlignment="1">
      <alignment horizontal="center"/>
    </xf>
    <xf numFmtId="164" fontId="4" fillId="0" borderId="51" xfId="0" applyNumberFormat="1" applyFont="1" applyBorder="1" applyAlignment="1">
      <alignment horizontal="right"/>
    </xf>
    <xf numFmtId="164" fontId="4" fillId="0" borderId="51" xfId="0" applyNumberFormat="1" applyFont="1" applyBorder="1" applyAlignment="1">
      <alignment horizontal="center"/>
    </xf>
    <xf numFmtId="44" fontId="4" fillId="0" borderId="51" xfId="2" applyFont="1" applyBorder="1" applyAlignment="1" applyProtection="1">
      <alignment horizontal="right"/>
      <protection locked="0"/>
    </xf>
    <xf numFmtId="166" fontId="4" fillId="0" borderId="51" xfId="2" applyNumberFormat="1" applyFont="1" applyBorder="1" applyAlignment="1" applyProtection="1">
      <alignment horizontal="right"/>
      <protection locked="0"/>
    </xf>
    <xf numFmtId="37" fontId="4" fillId="0" borderId="51" xfId="1" applyNumberFormat="1" applyFont="1" applyBorder="1" applyAlignment="1" applyProtection="1">
      <alignment horizontal="right"/>
      <protection locked="0"/>
    </xf>
    <xf numFmtId="37" fontId="4" fillId="0" borderId="51" xfId="1" applyNumberFormat="1" applyFont="1" applyBorder="1" applyAlignment="1" applyProtection="1">
      <alignment horizontal="right"/>
    </xf>
    <xf numFmtId="37" fontId="4" fillId="0" borderId="52" xfId="1" applyNumberFormat="1" applyFont="1" applyBorder="1" applyAlignment="1" applyProtection="1">
      <alignment horizontal="right"/>
      <protection hidden="1"/>
    </xf>
    <xf numFmtId="166" fontId="4" fillId="0" borderId="51" xfId="0" applyNumberFormat="1" applyFont="1" applyBorder="1" applyAlignment="1" applyProtection="1">
      <alignment horizontal="right"/>
      <protection hidden="1"/>
    </xf>
    <xf numFmtId="37" fontId="4" fillId="0" borderId="51" xfId="1" applyNumberFormat="1" applyFont="1" applyFill="1" applyBorder="1" applyAlignment="1" applyProtection="1">
      <alignment horizontal="right"/>
      <protection locked="0"/>
    </xf>
    <xf numFmtId="37" fontId="4" fillId="0" borderId="53" xfId="1" applyNumberFormat="1" applyFont="1" applyBorder="1" applyAlignment="1" applyProtection="1">
      <alignment horizontal="right"/>
      <protection hidden="1"/>
    </xf>
    <xf numFmtId="37" fontId="4" fillId="0" borderId="51" xfId="0" applyNumberFormat="1" applyFont="1" applyBorder="1" applyAlignment="1" applyProtection="1">
      <alignment horizontal="right"/>
      <protection hidden="1"/>
    </xf>
    <xf numFmtId="37" fontId="5" fillId="0" borderId="54" xfId="0" applyNumberFormat="1" applyFont="1" applyFill="1" applyBorder="1" applyAlignment="1" applyProtection="1">
      <alignment horizontal="right"/>
      <protection hidden="1"/>
    </xf>
    <xf numFmtId="37" fontId="4" fillId="0" borderId="51" xfId="2" applyNumberFormat="1" applyFont="1" applyBorder="1" applyAlignment="1" applyProtection="1">
      <alignment horizontal="right"/>
      <protection locked="0"/>
    </xf>
    <xf numFmtId="37" fontId="4" fillId="0" borderId="51" xfId="1" applyNumberFormat="1" applyFont="1" applyBorder="1" applyAlignment="1" applyProtection="1">
      <alignment horizontal="right"/>
      <protection hidden="1"/>
    </xf>
    <xf numFmtId="37" fontId="4" fillId="0" borderId="52" xfId="2" applyNumberFormat="1" applyFont="1" applyBorder="1" applyAlignment="1" applyProtection="1">
      <alignment horizontal="right"/>
      <protection hidden="1"/>
    </xf>
    <xf numFmtId="37" fontId="5" fillId="0" borderId="55" xfId="0" applyNumberFormat="1" applyFont="1" applyFill="1" applyBorder="1" applyAlignment="1" applyProtection="1">
      <alignment horizontal="right"/>
      <protection hidden="1"/>
    </xf>
    <xf numFmtId="0" fontId="0" fillId="0" borderId="10" xfId="0" applyBorder="1" applyAlignment="1" applyProtection="1">
      <alignment horizontal="right"/>
      <protection locked="0"/>
    </xf>
    <xf numFmtId="0" fontId="4" fillId="0" borderId="10" xfId="0" applyNumberFormat="1" applyFont="1" applyFill="1" applyBorder="1" applyAlignment="1" applyProtection="1">
      <alignment horizontal="center"/>
    </xf>
    <xf numFmtId="44" fontId="4" fillId="0" borderId="10" xfId="2" applyFont="1" applyBorder="1" applyAlignment="1" applyProtection="1">
      <alignment horizontal="right"/>
      <protection locked="0"/>
    </xf>
    <xf numFmtId="166" fontId="4" fillId="0" borderId="10" xfId="2" applyNumberFormat="1" applyFont="1" applyBorder="1" applyAlignment="1" applyProtection="1">
      <alignment horizontal="right"/>
      <protection locked="0"/>
    </xf>
    <xf numFmtId="37" fontId="4" fillId="0" borderId="10" xfId="1" applyNumberFormat="1" applyFont="1" applyBorder="1" applyAlignment="1" applyProtection="1">
      <alignment horizontal="right"/>
      <protection locked="0"/>
    </xf>
    <xf numFmtId="37" fontId="4" fillId="0" borderId="10" xfId="1" applyNumberFormat="1" applyFont="1" applyBorder="1" applyAlignment="1" applyProtection="1">
      <alignment horizontal="right"/>
    </xf>
    <xf numFmtId="37" fontId="4" fillId="0" borderId="13" xfId="1" applyNumberFormat="1" applyFont="1" applyBorder="1" applyAlignment="1" applyProtection="1">
      <alignment horizontal="right"/>
      <protection hidden="1"/>
    </xf>
    <xf numFmtId="166" fontId="4" fillId="0" borderId="10" xfId="0" applyNumberFormat="1" applyFont="1" applyBorder="1" applyAlignment="1" applyProtection="1">
      <alignment horizontal="right"/>
      <protection hidden="1"/>
    </xf>
    <xf numFmtId="37" fontId="4" fillId="0" borderId="10" xfId="1" applyNumberFormat="1" applyFont="1" applyFill="1" applyBorder="1" applyAlignment="1" applyProtection="1">
      <alignment horizontal="right"/>
      <protection locked="0"/>
    </xf>
    <xf numFmtId="37" fontId="4" fillId="0" borderId="12" xfId="1" applyNumberFormat="1" applyFont="1" applyBorder="1" applyAlignment="1" applyProtection="1">
      <alignment horizontal="right"/>
      <protection hidden="1"/>
    </xf>
    <xf numFmtId="37" fontId="4" fillId="0" borderId="10" xfId="0" applyNumberFormat="1" applyFont="1" applyBorder="1" applyAlignment="1" applyProtection="1">
      <alignment horizontal="right"/>
      <protection hidden="1"/>
    </xf>
    <xf numFmtId="37" fontId="5" fillId="0" borderId="41" xfId="0" applyNumberFormat="1" applyFont="1" applyFill="1" applyBorder="1" applyAlignment="1" applyProtection="1">
      <alignment horizontal="right"/>
      <protection hidden="1"/>
    </xf>
    <xf numFmtId="37" fontId="4" fillId="0" borderId="10" xfId="2" applyNumberFormat="1" applyFont="1" applyBorder="1" applyAlignment="1" applyProtection="1">
      <alignment horizontal="right"/>
      <protection locked="0"/>
    </xf>
    <xf numFmtId="37" fontId="4" fillId="0" borderId="10" xfId="1" applyNumberFormat="1" applyFont="1" applyBorder="1" applyAlignment="1" applyProtection="1">
      <alignment horizontal="right"/>
      <protection hidden="1"/>
    </xf>
    <xf numFmtId="37" fontId="4" fillId="0" borderId="13" xfId="2" applyNumberFormat="1" applyFont="1" applyBorder="1" applyAlignment="1" applyProtection="1">
      <alignment horizontal="right"/>
      <protection hidden="1"/>
    </xf>
    <xf numFmtId="37" fontId="5" fillId="0" borderId="23" xfId="0" applyNumberFormat="1" applyFont="1" applyFill="1" applyBorder="1" applyAlignment="1" applyProtection="1">
      <alignment horizontal="right"/>
      <protection hidden="1"/>
    </xf>
    <xf numFmtId="0" fontId="0" fillId="0" borderId="10" xfId="0" applyBorder="1" applyAlignment="1" applyProtection="1">
      <alignment horizontal="center"/>
      <protection locked="0"/>
    </xf>
    <xf numFmtId="0" fontId="1" fillId="0" borderId="10" xfId="0" applyNumberFormat="1" applyFont="1" applyFill="1" applyBorder="1" applyAlignment="1" applyProtection="1">
      <alignment horizontal="center"/>
    </xf>
    <xf numFmtId="0" fontId="4" fillId="0" borderId="10" xfId="0" applyNumberFormat="1" applyFont="1" applyFill="1" applyBorder="1" applyAlignment="1" applyProtection="1">
      <alignment horizontal="right"/>
    </xf>
    <xf numFmtId="44" fontId="4" fillId="0" borderId="10" xfId="2" applyFont="1" applyFill="1" applyBorder="1" applyAlignment="1" applyProtection="1">
      <alignment horizontal="right"/>
      <protection locked="0"/>
    </xf>
    <xf numFmtId="166" fontId="4" fillId="0" borderId="10" xfId="0" applyNumberFormat="1" applyFont="1" applyFill="1" applyBorder="1" applyAlignment="1" applyProtection="1">
      <alignment horizontal="right"/>
      <protection hidden="1"/>
    </xf>
    <xf numFmtId="37" fontId="4" fillId="0" borderId="10" xfId="0" applyNumberFormat="1" applyFont="1" applyFill="1" applyBorder="1" applyAlignment="1" applyProtection="1">
      <alignment horizontal="right"/>
      <protection hidden="1"/>
    </xf>
    <xf numFmtId="0" fontId="1" fillId="0" borderId="56" xfId="0" applyNumberFormat="1" applyFont="1" applyFill="1" applyBorder="1" applyAlignment="1" applyProtection="1">
      <alignment horizontal="center"/>
    </xf>
    <xf numFmtId="0" fontId="4" fillId="0" borderId="51" xfId="0" applyNumberFormat="1" applyFont="1" applyFill="1" applyBorder="1" applyAlignment="1" applyProtection="1">
      <alignment horizontal="right"/>
    </xf>
    <xf numFmtId="0" fontId="4" fillId="0" borderId="51" xfId="0" applyNumberFormat="1" applyFont="1" applyFill="1" applyBorder="1" applyAlignment="1" applyProtection="1">
      <alignment horizontal="center"/>
    </xf>
    <xf numFmtId="44" fontId="4" fillId="0" borderId="51" xfId="2" applyFont="1" applyFill="1" applyBorder="1" applyAlignment="1" applyProtection="1">
      <alignment horizontal="right"/>
      <protection locked="0"/>
    </xf>
    <xf numFmtId="166" fontId="4" fillId="0" borderId="51" xfId="0" applyNumberFormat="1" applyFont="1" applyFill="1" applyBorder="1" applyAlignment="1" applyProtection="1">
      <alignment horizontal="right"/>
      <protection hidden="1"/>
    </xf>
    <xf numFmtId="37" fontId="4" fillId="0" borderId="51" xfId="0" applyNumberFormat="1" applyFont="1" applyFill="1" applyBorder="1" applyAlignment="1" applyProtection="1">
      <alignment horizontal="right"/>
      <protection hidden="1"/>
    </xf>
    <xf numFmtId="0" fontId="1" fillId="0" borderId="57" xfId="0" applyNumberFormat="1" applyFont="1" applyFill="1" applyBorder="1" applyAlignment="1" applyProtection="1">
      <alignment horizontal="center"/>
    </xf>
    <xf numFmtId="166" fontId="4" fillId="0" borderId="51" xfId="0" applyNumberFormat="1" applyFont="1" applyBorder="1" applyAlignment="1" applyProtection="1">
      <alignment horizontal="center"/>
      <protection hidden="1"/>
    </xf>
    <xf numFmtId="37" fontId="4" fillId="0" borderId="54" xfId="1" applyNumberFormat="1" applyFont="1" applyBorder="1" applyAlignment="1" applyProtection="1">
      <alignment horizontal="right"/>
      <protection hidden="1"/>
    </xf>
    <xf numFmtId="37" fontId="4" fillId="0" borderId="52" xfId="0" applyNumberFormat="1" applyFont="1" applyFill="1" applyBorder="1" applyAlignment="1" applyProtection="1">
      <alignment horizontal="right"/>
      <protection hidden="1"/>
    </xf>
    <xf numFmtId="166" fontId="4" fillId="0" borderId="10" xfId="0" applyNumberFormat="1" applyFont="1" applyFill="1" applyBorder="1" applyAlignment="1" applyProtection="1">
      <alignment horizontal="center"/>
      <protection hidden="1"/>
    </xf>
    <xf numFmtId="37" fontId="4" fillId="0" borderId="41" xfId="1" applyNumberFormat="1" applyFont="1" applyBorder="1" applyAlignment="1" applyProtection="1">
      <alignment horizontal="right"/>
      <protection hidden="1"/>
    </xf>
    <xf numFmtId="37" fontId="4" fillId="0" borderId="13" xfId="0" applyNumberFormat="1" applyFont="1" applyFill="1" applyBorder="1" applyAlignment="1" applyProtection="1">
      <alignment horizontal="right"/>
      <protection hidden="1"/>
    </xf>
    <xf numFmtId="166" fontId="4" fillId="0" borderId="51" xfId="0" applyNumberFormat="1" applyFont="1" applyFill="1" applyBorder="1" applyAlignment="1" applyProtection="1">
      <alignment horizontal="center"/>
      <protection hidden="1"/>
    </xf>
    <xf numFmtId="166" fontId="4" fillId="0" borderId="57" xfId="0" applyNumberFormat="1" applyFont="1" applyFill="1" applyBorder="1" applyAlignment="1" applyProtection="1">
      <alignment horizontal="center"/>
      <protection hidden="1"/>
    </xf>
    <xf numFmtId="166" fontId="4" fillId="0" borderId="56" xfId="0" applyNumberFormat="1" applyFont="1" applyBorder="1" applyAlignment="1" applyProtection="1">
      <alignment horizontal="center"/>
      <protection hidden="1"/>
    </xf>
    <xf numFmtId="37" fontId="5" fillId="0" borderId="52" xfId="0" applyNumberFormat="1" applyFont="1" applyFill="1" applyBorder="1" applyAlignment="1" applyProtection="1">
      <alignment horizontal="right"/>
      <protection hidden="1"/>
    </xf>
    <xf numFmtId="166" fontId="4" fillId="0" borderId="51" xfId="0" applyNumberFormat="1" applyFont="1" applyBorder="1" applyAlignment="1">
      <alignment horizontal="right"/>
    </xf>
    <xf numFmtId="37" fontId="5" fillId="0" borderId="52" xfId="0" applyNumberFormat="1" applyFont="1" applyFill="1" applyBorder="1" applyAlignment="1" applyProtection="1">
      <alignment horizontal="right"/>
    </xf>
    <xf numFmtId="166" fontId="4" fillId="0" borderId="10" xfId="0" applyNumberFormat="1" applyFont="1" applyBorder="1" applyAlignment="1" applyProtection="1">
      <alignment horizontal="center"/>
      <protection hidden="1"/>
    </xf>
    <xf numFmtId="37" fontId="5" fillId="0" borderId="13" xfId="0" applyNumberFormat="1" applyFont="1" applyFill="1" applyBorder="1" applyAlignment="1" applyProtection="1">
      <alignment horizontal="right"/>
      <protection hidden="1"/>
    </xf>
    <xf numFmtId="166" fontId="4" fillId="0" borderId="10" xfId="0" applyNumberFormat="1" applyFont="1" applyBorder="1" applyAlignment="1">
      <alignment horizontal="right"/>
    </xf>
    <xf numFmtId="37" fontId="5" fillId="0" borderId="13" xfId="0" applyNumberFormat="1" applyFont="1" applyFill="1" applyBorder="1" applyAlignment="1" applyProtection="1">
      <alignment horizontal="right"/>
    </xf>
    <xf numFmtId="166" fontId="4" fillId="0" borderId="10" xfId="0" applyNumberFormat="1" applyFont="1" applyFill="1" applyBorder="1" applyAlignment="1" applyProtection="1">
      <alignment horizontal="right"/>
    </xf>
    <xf numFmtId="166" fontId="4" fillId="0" borderId="51" xfId="0" applyNumberFormat="1" applyFont="1" applyFill="1" applyBorder="1" applyAlignment="1" applyProtection="1">
      <alignment horizontal="right"/>
    </xf>
    <xf numFmtId="166" fontId="4" fillId="0" borderId="56" xfId="0" applyNumberFormat="1" applyFont="1" applyFill="1" applyBorder="1" applyAlignment="1" applyProtection="1">
      <alignment horizontal="center"/>
      <protection hidden="1"/>
    </xf>
    <xf numFmtId="167" fontId="4" fillId="0" borderId="0" xfId="1" applyNumberFormat="1" applyFont="1" applyBorder="1" applyProtection="1"/>
    <xf numFmtId="167" fontId="4" fillId="0" borderId="10" xfId="1" applyNumberFormat="1" applyFont="1" applyBorder="1" applyProtection="1"/>
    <xf numFmtId="167" fontId="4" fillId="0" borderId="0" xfId="0" applyNumberFormat="1" applyFont="1" applyBorder="1" applyProtection="1"/>
    <xf numFmtId="167" fontId="4" fillId="0" borderId="10" xfId="0" applyNumberFormat="1" applyFont="1" applyBorder="1" applyProtection="1"/>
    <xf numFmtId="0" fontId="48" fillId="0" borderId="0" xfId="0" applyNumberFormat="1" applyFont="1" applyFill="1" applyBorder="1" applyAlignment="1" applyProtection="1"/>
    <xf numFmtId="5" fontId="48" fillId="0" borderId="0" xfId="0" applyNumberFormat="1" applyFont="1" applyFill="1" applyBorder="1" applyAlignment="1" applyProtection="1"/>
    <xf numFmtId="0" fontId="1" fillId="0" borderId="0" xfId="0" applyNumberFormat="1" applyFont="1" applyFill="1" applyBorder="1" applyAlignment="1" applyProtection="1">
      <alignment horizontal="center"/>
      <protection hidden="1"/>
    </xf>
    <xf numFmtId="0" fontId="1" fillId="0" borderId="7"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Alignment="1">
      <alignment horizontal="center" vertical="top" wrapText="1"/>
    </xf>
    <xf numFmtId="0" fontId="22" fillId="0" borderId="0" xfId="0" applyFont="1" applyAlignment="1">
      <alignment horizontal="center"/>
    </xf>
    <xf numFmtId="165" fontId="0" fillId="0" borderId="0" xfId="0" applyNumberFormat="1" applyAlignment="1">
      <alignment horizontal="center"/>
    </xf>
    <xf numFmtId="14" fontId="42" fillId="0" borderId="22" xfId="0" applyNumberFormat="1" applyFont="1" applyBorder="1" applyAlignment="1" applyProtection="1">
      <alignment horizontal="right"/>
      <protection hidden="1"/>
    </xf>
    <xf numFmtId="165" fontId="42" fillId="0" borderId="22" xfId="0" applyNumberFormat="1" applyFont="1" applyBorder="1" applyAlignment="1" applyProtection="1">
      <alignment horizontal="right"/>
      <protection hidden="1"/>
    </xf>
    <xf numFmtId="0" fontId="42" fillId="0" borderId="0" xfId="0" applyFont="1" applyAlignment="1" applyProtection="1">
      <alignment horizontal="right"/>
      <protection hidden="1"/>
    </xf>
    <xf numFmtId="0" fontId="23" fillId="0" borderId="0" xfId="0" applyFont="1" applyAlignment="1" applyProtection="1">
      <alignment horizontal="center" vertical="center"/>
      <protection hidden="1"/>
    </xf>
    <xf numFmtId="0" fontId="32" fillId="0" borderId="0" xfId="0" applyFont="1" applyBorder="1" applyAlignment="1" applyProtection="1">
      <alignment horizontal="right"/>
      <protection hidden="1"/>
    </xf>
    <xf numFmtId="0" fontId="5" fillId="0" borderId="11" xfId="0" applyFont="1" applyBorder="1" applyAlignment="1" applyProtection="1">
      <alignment horizontal="left"/>
      <protection hidden="1"/>
    </xf>
    <xf numFmtId="0" fontId="5" fillId="0" borderId="4" xfId="0" applyFont="1" applyBorder="1" applyAlignment="1" applyProtection="1">
      <alignment horizontal="left"/>
      <protection hidden="1"/>
    </xf>
    <xf numFmtId="0" fontId="23" fillId="0" borderId="24" xfId="0" applyFont="1" applyBorder="1" applyAlignment="1" applyProtection="1">
      <alignment horizontal="center"/>
      <protection hidden="1"/>
    </xf>
    <xf numFmtId="0" fontId="23" fillId="0" borderId="25" xfId="0" applyFont="1" applyBorder="1" applyAlignment="1" applyProtection="1">
      <alignment horizontal="center"/>
      <protection hidden="1"/>
    </xf>
    <xf numFmtId="0" fontId="23" fillId="0" borderId="26" xfId="0" applyFont="1" applyBorder="1" applyAlignment="1" applyProtection="1">
      <alignment horizontal="center"/>
      <protection hidden="1"/>
    </xf>
    <xf numFmtId="0" fontId="1" fillId="0" borderId="9" xfId="0" applyFont="1" applyBorder="1" applyAlignment="1" applyProtection="1">
      <alignment horizontal="right"/>
      <protection hidden="1"/>
    </xf>
    <xf numFmtId="0" fontId="1" fillId="0" borderId="0" xfId="0" applyFont="1" applyBorder="1" applyAlignment="1" applyProtection="1">
      <alignment horizontal="right"/>
      <protection hidden="1"/>
    </xf>
    <xf numFmtId="0" fontId="26" fillId="0" borderId="27" xfId="0" applyFont="1" applyBorder="1" applyAlignment="1" applyProtection="1">
      <alignment horizontal="left" vertical="center"/>
      <protection hidden="1"/>
    </xf>
    <xf numFmtId="0" fontId="26" fillId="0" borderId="29" xfId="0" applyFont="1" applyBorder="1" applyAlignment="1" applyProtection="1">
      <alignment horizontal="left" vertical="center"/>
      <protection hidden="1"/>
    </xf>
    <xf numFmtId="0" fontId="28" fillId="0" borderId="8" xfId="0" applyFont="1" applyBorder="1" applyAlignment="1" applyProtection="1">
      <alignment horizontal="center" vertical="center"/>
      <protection hidden="1"/>
    </xf>
    <xf numFmtId="0" fontId="28" fillId="0" borderId="10" xfId="0" applyFont="1" applyBorder="1" applyAlignment="1" applyProtection="1">
      <alignment horizontal="center" vertical="center"/>
      <protection hidden="1"/>
    </xf>
    <xf numFmtId="164" fontId="26" fillId="0" borderId="29" xfId="0" applyNumberFormat="1" applyFont="1" applyBorder="1" applyAlignment="1" applyProtection="1">
      <alignment horizontal="left" vertical="center"/>
      <protection hidden="1"/>
    </xf>
    <xf numFmtId="0" fontId="1" fillId="0" borderId="30" xfId="0" applyFont="1" applyBorder="1" applyAlignment="1" applyProtection="1">
      <alignment horizontal="center" vertical="center"/>
      <protection hidden="1"/>
    </xf>
    <xf numFmtId="0" fontId="1" fillId="0" borderId="28" xfId="0" applyFont="1" applyBorder="1" applyAlignment="1" applyProtection="1">
      <alignment horizontal="center" vertical="center"/>
      <protection hidden="1"/>
    </xf>
    <xf numFmtId="0" fontId="23" fillId="0" borderId="29" xfId="0" applyFont="1" applyBorder="1" applyAlignment="1" applyProtection="1">
      <alignment horizontal="left"/>
      <protection hidden="1"/>
    </xf>
    <xf numFmtId="0" fontId="23" fillId="0" borderId="0" xfId="0" applyFont="1" applyBorder="1" applyAlignment="1" applyProtection="1">
      <alignment horizontal="left"/>
      <protection hidden="1"/>
    </xf>
    <xf numFmtId="0" fontId="23" fillId="0" borderId="9" xfId="0" applyFont="1" applyBorder="1" applyAlignment="1" applyProtection="1">
      <alignment horizontal="left"/>
      <protection hidden="1"/>
    </xf>
    <xf numFmtId="0" fontId="23" fillId="0" borderId="30" xfId="0" applyFont="1" applyBorder="1" applyAlignment="1" applyProtection="1">
      <alignment horizontal="left"/>
      <protection hidden="1"/>
    </xf>
    <xf numFmtId="0" fontId="43" fillId="8" borderId="0" xfId="0" applyFont="1" applyFill="1" applyAlignment="1" applyProtection="1">
      <alignment horizontal="left" vertical="center" wrapText="1"/>
      <protection hidden="1"/>
    </xf>
    <xf numFmtId="0" fontId="23" fillId="0" borderId="29" xfId="0" applyFont="1" applyBorder="1" applyAlignment="1" applyProtection="1">
      <alignment horizontal="right" vertical="center"/>
      <protection hidden="1"/>
    </xf>
    <xf numFmtId="0" fontId="23" fillId="0" borderId="0" xfId="0" applyFont="1" applyBorder="1" applyAlignment="1" applyProtection="1">
      <alignment horizontal="right" vertical="center"/>
      <protection hidden="1"/>
    </xf>
    <xf numFmtId="0" fontId="23" fillId="0" borderId="33" xfId="0" applyFont="1" applyBorder="1" applyAlignment="1" applyProtection="1">
      <alignment horizontal="right" vertical="center"/>
      <protection hidden="1"/>
    </xf>
    <xf numFmtId="0" fontId="23" fillId="0" borderId="22" xfId="0" applyFont="1" applyBorder="1" applyAlignment="1" applyProtection="1">
      <alignment horizontal="right" vertical="center"/>
      <protection hidden="1"/>
    </xf>
    <xf numFmtId="168" fontId="23" fillId="0" borderId="0" xfId="2" applyNumberFormat="1" applyFont="1" applyBorder="1" applyAlignment="1" applyProtection="1">
      <alignment horizontal="left" vertical="center"/>
      <protection hidden="1"/>
    </xf>
    <xf numFmtId="168" fontId="23" fillId="0" borderId="22" xfId="2" applyNumberFormat="1" applyFont="1" applyBorder="1" applyAlignment="1" applyProtection="1">
      <alignment horizontal="left" vertical="center"/>
      <protection hidden="1"/>
    </xf>
    <xf numFmtId="0" fontId="20" fillId="0" borderId="9" xfId="0" applyNumberFormat="1" applyFont="1" applyFill="1" applyBorder="1" applyAlignment="1" applyProtection="1">
      <alignment horizontal="right"/>
      <protection hidden="1"/>
    </xf>
    <xf numFmtId="0" fontId="20" fillId="0" borderId="0" xfId="0" applyNumberFormat="1" applyFont="1" applyFill="1" applyBorder="1" applyAlignment="1" applyProtection="1">
      <alignment horizontal="right"/>
      <protection hidden="1"/>
    </xf>
    <xf numFmtId="0" fontId="5" fillId="0" borderId="9" xfId="0" applyFont="1" applyBorder="1" applyAlignment="1" applyProtection="1">
      <alignment horizontal="right"/>
      <protection hidden="1"/>
    </xf>
    <xf numFmtId="0" fontId="5" fillId="0" borderId="0" xfId="0" applyFont="1" applyBorder="1" applyAlignment="1" applyProtection="1">
      <alignment horizontal="right"/>
      <protection hidden="1"/>
    </xf>
    <xf numFmtId="0" fontId="26" fillId="0" borderId="11" xfId="0" applyFont="1" applyBorder="1" applyAlignment="1" applyProtection="1">
      <alignment horizontal="center"/>
      <protection hidden="1"/>
    </xf>
    <xf numFmtId="0" fontId="26" fillId="0" borderId="4" xfId="0" applyFont="1" applyBorder="1" applyAlignment="1" applyProtection="1">
      <alignment horizontal="center"/>
      <protection hidden="1"/>
    </xf>
    <xf numFmtId="0" fontId="0" fillId="0" borderId="0" xfId="0" applyBorder="1" applyAlignment="1" applyProtection="1">
      <alignment horizontal="right"/>
      <protection hidden="1"/>
    </xf>
    <xf numFmtId="0" fontId="12" fillId="0" borderId="9" xfId="0" applyNumberFormat="1" applyFont="1" applyFill="1" applyBorder="1" applyAlignment="1" applyProtection="1">
      <alignment horizontal="right"/>
      <protection hidden="1"/>
    </xf>
    <xf numFmtId="0" fontId="12" fillId="0" borderId="0" xfId="0" applyNumberFormat="1" applyFont="1" applyFill="1" applyBorder="1" applyAlignment="1" applyProtection="1">
      <alignment horizontal="right"/>
      <protection hidden="1"/>
    </xf>
    <xf numFmtId="0" fontId="5" fillId="0" borderId="0" xfId="0" applyFont="1" applyBorder="1" applyAlignment="1" applyProtection="1">
      <alignment horizontal="left" indent="3"/>
      <protection hidden="1"/>
    </xf>
    <xf numFmtId="0" fontId="26" fillId="0" borderId="7" xfId="0" applyFont="1" applyBorder="1" applyAlignment="1" applyProtection="1">
      <alignment horizontal="left" vertical="center"/>
      <protection hidden="1"/>
    </xf>
    <xf numFmtId="0" fontId="26" fillId="0" borderId="5" xfId="0" applyFont="1" applyBorder="1" applyAlignment="1" applyProtection="1">
      <alignment horizontal="left" vertical="center"/>
      <protection hidden="1"/>
    </xf>
    <xf numFmtId="0" fontId="26" fillId="0" borderId="9" xfId="0" applyFont="1" applyBorder="1" applyAlignment="1" applyProtection="1">
      <alignment horizontal="left" vertical="center"/>
      <protection hidden="1"/>
    </xf>
    <xf numFmtId="0" fontId="26" fillId="0" borderId="0" xfId="0" applyFont="1" applyBorder="1" applyAlignment="1" applyProtection="1">
      <alignment horizontal="left" vertical="center"/>
      <protection hidden="1"/>
    </xf>
    <xf numFmtId="0" fontId="26" fillId="0" borderId="7" xfId="0" applyFont="1" applyBorder="1" applyAlignment="1" applyProtection="1">
      <alignment horizontal="left"/>
      <protection hidden="1"/>
    </xf>
    <xf numFmtId="0" fontId="26" fillId="0" borderId="5" xfId="0" applyFont="1" applyBorder="1" applyAlignment="1" applyProtection="1">
      <alignment horizontal="left"/>
      <protection hidden="1"/>
    </xf>
    <xf numFmtId="0" fontId="26" fillId="0" borderId="28" xfId="0" applyFont="1" applyBorder="1" applyAlignment="1" applyProtection="1">
      <alignment horizontal="left"/>
      <protection hidden="1"/>
    </xf>
    <xf numFmtId="0" fontId="26" fillId="0" borderId="9" xfId="0" applyFont="1" applyBorder="1" applyAlignment="1" applyProtection="1">
      <alignment horizontal="left"/>
      <protection hidden="1"/>
    </xf>
    <xf numFmtId="0" fontId="26" fillId="0" borderId="0" xfId="0" applyFont="1" applyBorder="1" applyAlignment="1" applyProtection="1">
      <alignment horizontal="left"/>
      <protection hidden="1"/>
    </xf>
    <xf numFmtId="0" fontId="26" fillId="0" borderId="30" xfId="0" applyFont="1" applyBorder="1" applyAlignment="1" applyProtection="1">
      <alignment horizontal="left"/>
      <protection hidden="1"/>
    </xf>
    <xf numFmtId="0" fontId="26" fillId="0" borderId="27" xfId="0" applyFont="1" applyBorder="1" applyAlignment="1" applyProtection="1">
      <alignment horizontal="left"/>
      <protection hidden="1"/>
    </xf>
    <xf numFmtId="0" fontId="26" fillId="0" borderId="29" xfId="0" applyFont="1" applyBorder="1" applyAlignment="1" applyProtection="1">
      <alignment horizontal="left"/>
      <protection hidden="1"/>
    </xf>
    <xf numFmtId="0" fontId="30" fillId="0" borderId="9" xfId="0" applyFont="1" applyBorder="1" applyAlignment="1" applyProtection="1">
      <alignment horizontal="right"/>
      <protection hidden="1"/>
    </xf>
    <xf numFmtId="0" fontId="30" fillId="0" borderId="0" xfId="0" applyFont="1" applyBorder="1" applyAlignment="1" applyProtection="1">
      <alignment horizontal="right"/>
      <protection hidden="1"/>
    </xf>
    <xf numFmtId="0" fontId="26" fillId="0" borderId="11" xfId="0" applyFont="1" applyBorder="1" applyAlignment="1" applyProtection="1">
      <alignment horizontal="left" indent="1"/>
      <protection hidden="1"/>
    </xf>
    <xf numFmtId="0" fontId="26" fillId="0" borderId="4" xfId="0" applyFont="1" applyBorder="1" applyAlignment="1" applyProtection="1">
      <alignment horizontal="left" indent="1"/>
      <protection hidden="1"/>
    </xf>
    <xf numFmtId="0" fontId="0" fillId="0" borderId="5" xfId="0" applyBorder="1" applyAlignment="1" applyProtection="1">
      <alignment horizontal="center"/>
      <protection hidden="1"/>
    </xf>
    <xf numFmtId="0" fontId="0" fillId="0" borderId="28" xfId="0" applyBorder="1" applyAlignment="1" applyProtection="1">
      <alignment horizontal="center"/>
      <protection hidden="1"/>
    </xf>
    <xf numFmtId="0" fontId="0" fillId="0" borderId="0" xfId="0" applyBorder="1" applyAlignment="1" applyProtection="1">
      <alignment horizontal="center"/>
      <protection hidden="1"/>
    </xf>
    <xf numFmtId="0" fontId="0" fillId="0" borderId="30" xfId="0" applyBorder="1" applyAlignment="1" applyProtection="1">
      <alignment horizontal="center"/>
      <protection hidden="1"/>
    </xf>
    <xf numFmtId="0" fontId="32" fillId="0" borderId="29" xfId="0" quotePrefix="1" applyFont="1" applyBorder="1" applyAlignment="1" applyProtection="1">
      <alignment horizontal="right"/>
      <protection hidden="1"/>
    </xf>
    <xf numFmtId="0" fontId="32" fillId="0" borderId="0" xfId="0" quotePrefix="1" applyFont="1" applyBorder="1" applyAlignment="1" applyProtection="1">
      <alignment horizontal="right"/>
      <protection hidden="1"/>
    </xf>
    <xf numFmtId="0" fontId="1" fillId="0" borderId="29" xfId="0" applyFont="1" applyBorder="1" applyAlignment="1" applyProtection="1">
      <alignment horizontal="right"/>
      <protection hidden="1"/>
    </xf>
    <xf numFmtId="167" fontId="32" fillId="0" borderId="0" xfId="0" applyNumberFormat="1" applyFont="1" applyBorder="1" applyAlignment="1" applyProtection="1">
      <alignment horizontal="right" indent="3"/>
      <protection hidden="1"/>
    </xf>
    <xf numFmtId="167" fontId="0" fillId="0" borderId="0" xfId="0" applyNumberFormat="1" applyBorder="1" applyAlignment="1" applyProtection="1">
      <alignment horizontal="right" indent="3"/>
      <protection hidden="1"/>
    </xf>
    <xf numFmtId="0" fontId="23" fillId="0" borderId="27" xfId="0" applyFont="1" applyBorder="1" applyAlignment="1" applyProtection="1">
      <alignment horizontal="right"/>
      <protection hidden="1"/>
    </xf>
    <xf numFmtId="0" fontId="23" fillId="0" borderId="5" xfId="0" applyFont="1" applyBorder="1" applyAlignment="1" applyProtection="1">
      <alignment horizontal="right"/>
      <protection hidden="1"/>
    </xf>
    <xf numFmtId="0" fontId="23" fillId="0" borderId="29" xfId="0" applyFont="1" applyBorder="1" applyAlignment="1" applyProtection="1">
      <alignment horizontal="right"/>
      <protection hidden="1"/>
    </xf>
    <xf numFmtId="0" fontId="23" fillId="0" borderId="0" xfId="0" applyFont="1" applyBorder="1" applyAlignment="1" applyProtection="1">
      <alignment horizontal="right"/>
      <protection hidden="1"/>
    </xf>
    <xf numFmtId="0" fontId="1" fillId="0" borderId="22" xfId="0" applyFont="1" applyBorder="1" applyAlignment="1" applyProtection="1">
      <alignment horizontal="right"/>
      <protection hidden="1"/>
    </xf>
    <xf numFmtId="0" fontId="26" fillId="0" borderId="35" xfId="0" applyFont="1" applyBorder="1" applyAlignment="1" applyProtection="1">
      <alignment horizontal="center" vertical="center"/>
      <protection hidden="1"/>
    </xf>
    <xf numFmtId="0" fontId="26" fillId="0" borderId="36" xfId="0" applyFont="1" applyBorder="1" applyAlignment="1" applyProtection="1">
      <alignment horizontal="center" vertical="center"/>
      <protection hidden="1"/>
    </xf>
    <xf numFmtId="0" fontId="26" fillId="0" borderId="37" xfId="0" applyFont="1" applyBorder="1" applyAlignment="1" applyProtection="1">
      <alignment horizontal="center" vertical="center"/>
      <protection hidden="1"/>
    </xf>
    <xf numFmtId="0" fontId="26" fillId="0" borderId="29" xfId="0" applyFont="1" applyBorder="1" applyAlignment="1" applyProtection="1">
      <alignment horizontal="center" vertical="center"/>
      <protection hidden="1"/>
    </xf>
    <xf numFmtId="0" fontId="26" fillId="0" borderId="0" xfId="0" applyFont="1" applyBorder="1" applyAlignment="1" applyProtection="1">
      <alignment horizontal="center" vertical="center"/>
      <protection hidden="1"/>
    </xf>
    <xf numFmtId="0" fontId="26" fillId="0" borderId="30" xfId="0" applyFont="1" applyBorder="1" applyAlignment="1" applyProtection="1">
      <alignment horizontal="center" vertical="center"/>
      <protection hidden="1"/>
    </xf>
    <xf numFmtId="167" fontId="23" fillId="0" borderId="0" xfId="0" applyNumberFormat="1" applyFont="1" applyBorder="1" applyAlignment="1" applyProtection="1">
      <alignment horizontal="right" indent="3"/>
      <protection hidden="1"/>
    </xf>
    <xf numFmtId="0" fontId="54" fillId="12" borderId="35" xfId="0" applyFont="1" applyFill="1" applyBorder="1" applyAlignment="1" applyProtection="1">
      <alignment horizontal="center" vertical="center" wrapText="1"/>
    </xf>
    <xf numFmtId="0" fontId="54" fillId="12" borderId="36" xfId="0" applyFont="1" applyFill="1" applyBorder="1" applyAlignment="1" applyProtection="1">
      <alignment horizontal="center" vertical="center" wrapText="1"/>
    </xf>
    <xf numFmtId="0" fontId="54" fillId="12" borderId="37" xfId="0" applyFont="1" applyFill="1" applyBorder="1" applyAlignment="1" applyProtection="1">
      <alignment horizontal="center" vertical="center" wrapText="1"/>
    </xf>
    <xf numFmtId="0" fontId="54" fillId="12" borderId="29" xfId="0" applyFont="1" applyFill="1" applyBorder="1" applyAlignment="1" applyProtection="1">
      <alignment horizontal="center" vertical="center" wrapText="1"/>
    </xf>
    <xf numFmtId="0" fontId="54" fillId="12" borderId="0" xfId="0" applyFont="1" applyFill="1" applyBorder="1" applyAlignment="1" applyProtection="1">
      <alignment horizontal="center" vertical="center" wrapText="1"/>
    </xf>
    <xf numFmtId="0" fontId="54" fillId="12" borderId="30" xfId="0" applyFont="1" applyFill="1" applyBorder="1" applyAlignment="1" applyProtection="1">
      <alignment horizontal="center" vertical="center" wrapText="1"/>
    </xf>
    <xf numFmtId="0" fontId="54" fillId="12" borderId="33" xfId="0" applyFont="1" applyFill="1" applyBorder="1" applyAlignment="1" applyProtection="1">
      <alignment horizontal="center" vertical="center" wrapText="1"/>
    </xf>
    <xf numFmtId="0" fontId="54" fillId="12" borderId="22" xfId="0" applyFont="1" applyFill="1" applyBorder="1" applyAlignment="1" applyProtection="1">
      <alignment horizontal="center" vertical="center" wrapText="1"/>
    </xf>
    <xf numFmtId="0" fontId="54" fillId="12" borderId="34" xfId="0" applyFont="1" applyFill="1" applyBorder="1" applyAlignment="1" applyProtection="1">
      <alignment horizontal="center" vertical="center" wrapText="1"/>
    </xf>
    <xf numFmtId="0" fontId="6" fillId="0" borderId="0" xfId="0" applyNumberFormat="1" applyFont="1" applyFill="1" applyBorder="1" applyAlignment="1" applyProtection="1">
      <alignment horizontal="center"/>
    </xf>
    <xf numFmtId="165" fontId="9" fillId="0" borderId="0" xfId="0" applyNumberFormat="1" applyFont="1" applyFill="1" applyBorder="1" applyAlignment="1" applyProtection="1">
      <alignment horizontal="right"/>
      <protection locked="0" hidden="1"/>
    </xf>
    <xf numFmtId="0" fontId="16" fillId="0" borderId="0" xfId="0" applyNumberFormat="1" applyFont="1" applyFill="1" applyBorder="1" applyAlignment="1" applyProtection="1">
      <alignment horizontal="right"/>
      <protection locked="0" hidden="1"/>
    </xf>
    <xf numFmtId="0" fontId="51" fillId="9" borderId="35" xfId="0" applyFont="1" applyFill="1" applyBorder="1" applyAlignment="1" applyProtection="1">
      <alignment horizontal="center" vertical="center" wrapText="1"/>
    </xf>
    <xf numFmtId="0" fontId="51" fillId="9" borderId="36" xfId="0" applyFont="1" applyFill="1" applyBorder="1" applyAlignment="1" applyProtection="1">
      <alignment horizontal="center" vertical="center" wrapText="1"/>
    </xf>
    <xf numFmtId="0" fontId="51" fillId="9" borderId="37" xfId="0" applyFont="1" applyFill="1" applyBorder="1" applyAlignment="1" applyProtection="1">
      <alignment horizontal="center" vertical="center" wrapText="1"/>
    </xf>
    <xf numFmtId="0" fontId="51" fillId="9" borderId="29" xfId="0" applyFont="1" applyFill="1" applyBorder="1" applyAlignment="1" applyProtection="1">
      <alignment horizontal="center" vertical="center" wrapText="1"/>
    </xf>
    <xf numFmtId="0" fontId="51" fillId="9" borderId="0" xfId="0" applyFont="1" applyFill="1" applyBorder="1" applyAlignment="1" applyProtection="1">
      <alignment horizontal="center" vertical="center" wrapText="1"/>
    </xf>
    <xf numFmtId="0" fontId="51" fillId="9" borderId="30" xfId="0" applyFont="1" applyFill="1" applyBorder="1" applyAlignment="1" applyProtection="1">
      <alignment horizontal="center" vertical="center" wrapText="1"/>
    </xf>
    <xf numFmtId="0" fontId="51" fillId="9" borderId="33" xfId="0" applyFont="1" applyFill="1" applyBorder="1" applyAlignment="1" applyProtection="1">
      <alignment horizontal="center" vertical="center" wrapText="1"/>
    </xf>
    <xf numFmtId="0" fontId="51" fillId="9" borderId="22" xfId="0" applyFont="1" applyFill="1" applyBorder="1" applyAlignment="1" applyProtection="1">
      <alignment horizontal="center" vertical="center" wrapText="1"/>
    </xf>
    <xf numFmtId="0" fontId="51" fillId="9" borderId="34" xfId="0" applyFont="1" applyFill="1" applyBorder="1" applyAlignment="1" applyProtection="1">
      <alignment horizontal="center" vertical="center" wrapText="1"/>
    </xf>
    <xf numFmtId="165" fontId="7" fillId="0" borderId="0" xfId="0" applyNumberFormat="1" applyFont="1" applyFill="1" applyBorder="1" applyAlignment="1" applyProtection="1">
      <alignment horizontal="right"/>
      <protection locked="0"/>
    </xf>
    <xf numFmtId="0" fontId="43" fillId="0" borderId="0" xfId="0" applyFont="1" applyAlignment="1">
      <alignment horizontal="right" vertical="center"/>
    </xf>
    <xf numFmtId="0" fontId="40" fillId="0" borderId="0" xfId="0" applyFont="1" applyAlignment="1">
      <alignment horizontal="center" vertical="center" wrapText="1"/>
    </xf>
    <xf numFmtId="166" fontId="40" fillId="0" borderId="0" xfId="0" applyNumberFormat="1" applyFont="1" applyAlignment="1">
      <alignment horizontal="center" vertical="center"/>
    </xf>
    <xf numFmtId="0" fontId="42" fillId="0" borderId="0" xfId="0" applyNumberFormat="1" applyFont="1" applyFill="1" applyBorder="1" applyAlignment="1" applyProtection="1">
      <alignment horizontal="left" vertical="center"/>
    </xf>
    <xf numFmtId="0" fontId="43" fillId="0" borderId="0" xfId="0" applyFont="1" applyAlignment="1">
      <alignment horizontal="left" vertical="center"/>
    </xf>
    <xf numFmtId="0" fontId="42" fillId="0" borderId="0" xfId="0" applyFont="1" applyAlignment="1">
      <alignment horizontal="left" vertical="center"/>
    </xf>
    <xf numFmtId="0" fontId="21" fillId="0" borderId="7" xfId="0" applyNumberFormat="1" applyFont="1" applyFill="1" applyBorder="1" applyAlignment="1" applyProtection="1">
      <alignment horizontal="left"/>
    </xf>
    <xf numFmtId="0" fontId="21" fillId="0" borderId="5" xfId="0" applyNumberFormat="1" applyFont="1" applyFill="1" applyBorder="1" applyAlignment="1" applyProtection="1">
      <alignment horizontal="left"/>
    </xf>
    <xf numFmtId="0" fontId="21" fillId="0" borderId="8" xfId="0" applyNumberFormat="1" applyFont="1" applyFill="1" applyBorder="1" applyAlignment="1" applyProtection="1">
      <alignment horizontal="left"/>
    </xf>
    <xf numFmtId="0" fontId="6" fillId="0" borderId="7" xfId="0" applyNumberFormat="1" applyFont="1" applyFill="1" applyBorder="1" applyAlignment="1" applyProtection="1">
      <alignment horizontal="center" vertical="center"/>
    </xf>
    <xf numFmtId="0" fontId="6" fillId="0" borderId="5" xfId="0" applyNumberFormat="1" applyFont="1" applyFill="1" applyBorder="1" applyAlignment="1" applyProtection="1">
      <alignment horizontal="center" vertical="center"/>
    </xf>
    <xf numFmtId="0" fontId="6" fillId="0" borderId="8" xfId="0" applyNumberFormat="1" applyFont="1" applyFill="1" applyBorder="1" applyAlignment="1" applyProtection="1">
      <alignment horizontal="center" vertical="center"/>
    </xf>
    <xf numFmtId="0" fontId="6" fillId="0" borderId="9" xfId="0" applyNumberFormat="1" applyFont="1" applyFill="1" applyBorder="1" applyAlignment="1" applyProtection="1">
      <alignment horizontal="center" vertical="center"/>
    </xf>
    <xf numFmtId="0" fontId="6" fillId="0" borderId="0" xfId="0" applyNumberFormat="1" applyFont="1" applyFill="1" applyBorder="1" applyAlignment="1" applyProtection="1">
      <alignment horizontal="center" vertical="center"/>
    </xf>
    <xf numFmtId="0" fontId="6" fillId="0" borderId="10" xfId="0" applyNumberFormat="1" applyFont="1" applyFill="1" applyBorder="1" applyAlignment="1" applyProtection="1">
      <alignment horizontal="center" vertical="center"/>
    </xf>
    <xf numFmtId="164" fontId="42" fillId="0" borderId="11" xfId="0" applyNumberFormat="1" applyFont="1" applyBorder="1" applyAlignment="1">
      <alignment horizontal="right"/>
    </xf>
    <xf numFmtId="164" fontId="42" fillId="0" borderId="4" xfId="0" applyNumberFormat="1" applyFont="1" applyBorder="1" applyAlignment="1">
      <alignment horizontal="right"/>
    </xf>
    <xf numFmtId="164" fontId="42" fillId="0" borderId="14" xfId="0" applyNumberFormat="1" applyFont="1" applyBorder="1" applyAlignment="1">
      <alignment horizontal="right"/>
    </xf>
    <xf numFmtId="167" fontId="23" fillId="0" borderId="0" xfId="0" applyNumberFormat="1" applyFont="1" applyFill="1" applyBorder="1" applyAlignment="1" applyProtection="1">
      <alignment horizontal="center"/>
      <protection hidden="1"/>
    </xf>
    <xf numFmtId="167" fontId="23" fillId="0" borderId="38" xfId="0" applyNumberFormat="1" applyFont="1" applyFill="1" applyBorder="1" applyAlignment="1" applyProtection="1">
      <alignment horizontal="center"/>
      <protection hidden="1"/>
    </xf>
    <xf numFmtId="164" fontId="21" fillId="0" borderId="0" xfId="0" applyNumberFormat="1" applyFont="1" applyFill="1" applyBorder="1" applyAlignment="1" applyProtection="1">
      <alignment horizontal="center"/>
      <protection hidden="1"/>
    </xf>
    <xf numFmtId="0" fontId="21" fillId="0" borderId="0" xfId="0" applyNumberFormat="1" applyFont="1" applyFill="1" applyBorder="1" applyAlignment="1" applyProtection="1">
      <alignment horizontal="center"/>
      <protection hidden="1"/>
    </xf>
    <xf numFmtId="0" fontId="21" fillId="0" borderId="38" xfId="0" applyNumberFormat="1" applyFont="1" applyFill="1" applyBorder="1" applyAlignment="1" applyProtection="1">
      <alignment horizontal="center"/>
      <protection hidden="1"/>
    </xf>
    <xf numFmtId="0" fontId="21" fillId="0" borderId="9" xfId="0" applyNumberFormat="1" applyFont="1" applyFill="1" applyBorder="1" applyAlignment="1" applyProtection="1">
      <alignment horizontal="left"/>
    </xf>
    <xf numFmtId="0" fontId="21" fillId="0" borderId="0" xfId="0" applyNumberFormat="1" applyFont="1" applyFill="1" applyBorder="1" applyAlignment="1" applyProtection="1">
      <alignment horizontal="left"/>
    </xf>
    <xf numFmtId="0" fontId="21" fillId="0" borderId="10" xfId="0" applyNumberFormat="1" applyFont="1" applyFill="1" applyBorder="1" applyAlignment="1" applyProtection="1">
      <alignment horizontal="left"/>
    </xf>
    <xf numFmtId="164" fontId="42" fillId="0" borderId="9" xfId="0" applyNumberFormat="1" applyFont="1" applyBorder="1" applyAlignment="1" applyProtection="1">
      <alignment horizontal="right"/>
      <protection hidden="1"/>
    </xf>
    <xf numFmtId="164" fontId="42" fillId="0" borderId="0" xfId="0" applyNumberFormat="1" applyFont="1" applyBorder="1" applyAlignment="1" applyProtection="1">
      <alignment horizontal="right"/>
      <protection hidden="1"/>
    </xf>
    <xf numFmtId="164" fontId="42" fillId="0" borderId="10" xfId="0" applyNumberFormat="1" applyFont="1" applyBorder="1" applyAlignment="1" applyProtection="1">
      <alignment horizontal="right"/>
      <protection hidden="1"/>
    </xf>
    <xf numFmtId="0" fontId="2" fillId="0" borderId="4" xfId="3" applyNumberFormat="1" applyFill="1" applyBorder="1" applyAlignment="1" applyProtection="1">
      <alignment horizontal="center"/>
    </xf>
    <xf numFmtId="0" fontId="6" fillId="0" borderId="0" xfId="0" applyNumberFormat="1" applyFont="1" applyFill="1" applyBorder="1" applyAlignment="1" applyProtection="1">
      <alignment horizontal="center" vertical="top"/>
    </xf>
    <xf numFmtId="0" fontId="3" fillId="0" borderId="0" xfId="0" applyNumberFormat="1" applyFont="1" applyFill="1" applyBorder="1" applyAlignment="1" applyProtection="1">
      <alignment horizontal="center" vertical="top"/>
    </xf>
    <xf numFmtId="0" fontId="3" fillId="0" borderId="22" xfId="0" applyNumberFormat="1" applyFont="1" applyFill="1" applyBorder="1" applyAlignment="1" applyProtection="1">
      <alignment horizontal="left" vertical="top"/>
    </xf>
    <xf numFmtId="165" fontId="1" fillId="0" borderId="0" xfId="0" applyNumberFormat="1" applyFont="1" applyAlignment="1">
      <alignment horizontal="center"/>
    </xf>
  </cellXfs>
  <cellStyles count="10">
    <cellStyle name="20% - Accent3 2" xfId="7"/>
    <cellStyle name="Calculation 2" xfId="9"/>
    <cellStyle name="Comma" xfId="1" builtinId="3"/>
    <cellStyle name="Currency" xfId="2" builtinId="4"/>
    <cellStyle name="Currency 2" xfId="6"/>
    <cellStyle name="Hyperlink" xfId="3" builtinId="8"/>
    <cellStyle name="Input 2" xfId="8"/>
    <cellStyle name="Normal" xfId="0" builtinId="0"/>
    <cellStyle name="Normal 2" xfId="5"/>
    <cellStyle name="Percent" xfId="4" builtinId="5"/>
  </cellStyles>
  <dxfs count="305">
    <dxf>
      <font>
        <color theme="0" tint="-0.14996795556505021"/>
      </font>
      <fill>
        <patternFill>
          <bgColor theme="0" tint="-0.34998626667073579"/>
        </patternFill>
      </fill>
    </dxf>
    <dxf>
      <font>
        <b val="0"/>
        <i val="0"/>
        <strike val="0"/>
        <condense val="0"/>
        <extend val="0"/>
        <outline val="0"/>
        <shadow val="0"/>
        <u val="none"/>
        <vertAlign val="baseline"/>
        <sz val="10"/>
        <color auto="1"/>
        <name val="Arial"/>
        <scheme val="none"/>
      </font>
      <numFmt numFmtId="0" formatCode="General"/>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bottom" textRotation="0" wrapText="0" indent="0" justifyLastLine="0" shrinkToFit="0" readingOrder="0"/>
      <protection locked="1"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bottom" textRotation="0" wrapText="0" indent="0" justifyLastLine="0" shrinkToFit="0" readingOrder="0"/>
      <protection locked="1" hidden="0"/>
    </dxf>
    <dxf>
      <font>
        <color theme="0" tint="-0.499984740745262"/>
      </font>
      <fill>
        <patternFill>
          <bgColor theme="0" tint="-0.34998626667073579"/>
        </patternFill>
      </fill>
    </dxf>
    <dxf>
      <font>
        <color theme="0" tint="-0.499984740745262"/>
      </font>
      <fill>
        <patternFill>
          <bgColor theme="0" tint="-0.34998626667073579"/>
        </patternFill>
      </fill>
    </dxf>
    <dxf>
      <font>
        <color theme="0" tint="-0.499984740745262"/>
      </font>
      <fill>
        <patternFill>
          <bgColor theme="0" tint="-0.34998626667073579"/>
        </patternFill>
      </fill>
    </dxf>
    <dxf>
      <font>
        <color theme="0" tint="-0.499984740745262"/>
      </font>
      <fill>
        <patternFill>
          <bgColor theme="0" tint="-0.34998626667073579"/>
        </patternFill>
      </fill>
    </dxf>
    <dxf>
      <font>
        <color theme="0" tint="-0.14996795556505021"/>
      </font>
      <fill>
        <patternFill>
          <bgColor theme="0" tint="-0.34998626667073579"/>
        </patternFill>
      </fill>
    </dxf>
    <dxf>
      <font>
        <color theme="0" tint="-0.14996795556505021"/>
      </font>
      <fill>
        <patternFill>
          <bgColor theme="0" tint="-0.34998626667073579"/>
        </patternFill>
      </fill>
    </dxf>
    <dxf>
      <font>
        <color theme="0" tint="-0.499984740745262"/>
      </font>
      <fill>
        <patternFill>
          <bgColor theme="0" tint="-0.34998626667073579"/>
        </patternFill>
      </fill>
    </dxf>
    <dxf>
      <fill>
        <patternFill>
          <bgColor theme="4" tint="0.59996337778862885"/>
        </patternFill>
      </fill>
    </dxf>
    <dxf>
      <font>
        <color theme="0" tint="-0.14996795556505021"/>
      </font>
      <fill>
        <patternFill>
          <bgColor theme="0" tint="-0.34998626667073579"/>
        </patternFill>
      </fill>
    </dxf>
    <dxf>
      <font>
        <b val="0"/>
        <i val="0"/>
        <strike val="0"/>
        <condense val="0"/>
        <extend val="0"/>
        <outline val="0"/>
        <shadow val="0"/>
        <u val="none"/>
        <vertAlign val="baseline"/>
        <sz val="9"/>
        <color auto="1"/>
        <name val="Arial"/>
        <scheme val="none"/>
      </font>
      <numFmt numFmtId="166" formatCode="_(&quot;$&quot;* #,##0_);_(&quot;$&quot;* \(#,##0\);_(&quot;$&quot;* &quot;-&quot;??_);_(@_)"/>
      <fill>
        <patternFill patternType="none">
          <fgColor indexed="64"/>
          <bgColor indexed="65"/>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166" formatCode="_(&quot;$&quot;* #,##0_);_(&quot;$&quot;* \(#,##0\);_(&quot;$&quot;* &quot;-&quot;??_);_(@_)"/>
      <fill>
        <patternFill patternType="none">
          <fgColor indexed="64"/>
          <bgColor indexed="65"/>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protection locked="1" hidden="0"/>
    </dxf>
    <dxf>
      <numFmt numFmtId="34" formatCode="_(&quot;$&quot;* #,##0.00_);_(&quot;$&quot;* \(#,##0.00\);_(&quot;$&quot;* &quot;-&quot;??_);_(@_)"/>
    </dxf>
    <dxf>
      <numFmt numFmtId="10" formatCode="&quot;$&quot;#,##0_);[Red]\(&quot;$&quot;#,##0\)"/>
      <alignment vertical="center" textRotation="0" indent="0" justifyLastLine="0" shrinkToFit="0" readingOrder="0"/>
      <protection locked="1" hidden="1"/>
    </dxf>
    <dxf>
      <numFmt numFmtId="12" formatCode="&quot;$&quot;#,##0.00_);[Red]\(&quot;$&quot;#,##0.00\)"/>
    </dxf>
    <dxf>
      <numFmt numFmtId="10" formatCode="&quot;$&quot;#,##0_);[Red]\(&quot;$&quot;#,##0\)"/>
      <alignment vertical="center" textRotation="0" indent="0" justifyLastLine="0" shrinkToFit="0" readingOrder="0"/>
      <protection locked="1" hidden="1"/>
    </dxf>
    <dxf>
      <numFmt numFmtId="12" formatCode="&quot;$&quot;#,##0.00_);[Red]\(&quot;$&quot;#,##0.00\)"/>
    </dxf>
    <dxf>
      <numFmt numFmtId="10" formatCode="&quot;$&quot;#,##0_);[Red]\(&quot;$&quot;#,##0\)"/>
      <alignment vertical="center" textRotation="0" indent="0" justifyLastLine="0" shrinkToFit="0" readingOrder="0"/>
      <protection locked="1" hidden="1"/>
    </dxf>
    <dxf>
      <numFmt numFmtId="0" formatCode="General"/>
      <alignment horizontal="center" vertical="bottom"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bottom" textRotation="0" wrapText="0" indent="0" justifyLastLine="0" shrinkToFit="0" readingOrder="0"/>
    </dxf>
    <dxf>
      <alignment horizontal="center" vertical="center" textRotation="0" wrapText="0" indent="0" justifyLastLine="0" shrinkToFit="0" readingOrder="0"/>
      <protection locked="0" hidden="0"/>
    </dxf>
    <dxf>
      <alignment horizontal="center" vertical="bottom" textRotation="0" wrapText="0" indent="0" justifyLastLine="0" shrinkToFit="0" readingOrder="0"/>
    </dxf>
    <dxf>
      <alignment horizontal="center" vertical="center" textRotation="0" wrapText="0" indent="0" justifyLastLine="0" shrinkToFit="0" readingOrder="0"/>
      <protection locked="0" hidden="0"/>
    </dxf>
    <dxf>
      <alignment horizontal="center" vertical="bottom" textRotation="0" wrapText="0" indent="0" justifyLastLine="0" shrinkToFit="0" readingOrder="0"/>
    </dxf>
    <dxf>
      <alignment horizontal="center" vertical="center" textRotation="0" wrapText="0" indent="0" justifyLastLine="0" shrinkToFit="0" readingOrder="0"/>
      <protection locked="0" hidden="0"/>
    </dxf>
    <dxf>
      <font>
        <b val="0"/>
        <i val="0"/>
        <strike val="0"/>
        <condense val="0"/>
        <extend val="0"/>
        <outline val="0"/>
        <shadow val="0"/>
        <u val="none"/>
        <vertAlign val="baseline"/>
        <sz val="10"/>
        <color auto="1"/>
        <name val="Arial"/>
        <scheme val="none"/>
      </font>
      <numFmt numFmtId="166" formatCode="_(&quot;$&quot;* #,##0_);_(&quot;$&quot;* \(#,##0\);_(&quot;$&quot;* &quot;-&quot;??_);_(@_)"/>
    </dxf>
    <dxf>
      <font>
        <b val="0"/>
        <i val="0"/>
        <strike val="0"/>
        <condense val="0"/>
        <extend val="0"/>
        <outline val="0"/>
        <shadow val="0"/>
        <u val="none"/>
        <vertAlign val="baseline"/>
        <sz val="10"/>
        <color auto="1"/>
        <name val="Arial"/>
        <scheme val="none"/>
      </font>
      <numFmt numFmtId="166" formatCode="_(&quot;$&quot;* #,##0_);_(&quot;$&quot;* \(#,##0\);_(&quot;$&quot;* &quot;-&quot;??_);_(@_)"/>
      <alignment vertical="center" textRotation="0" indent="0" justifyLastLine="0" shrinkToFit="0" readingOrder="0"/>
      <protection locked="0" hidden="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numFmt numFmtId="169" formatCode="0.0%"/>
      <alignment horizontal="center" vertical="center" textRotation="0" wrapText="0" indent="0" justifyLastLine="0" shrinkToFit="0" readingOrder="0"/>
      <protection locked="0" hidden="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alignment vertical="center" textRotation="0" indent="0" justifyLastLine="0" shrinkToFit="0" readingOrder="0"/>
      <protection locked="0" hidden="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alignment vertical="center" textRotation="0" indent="0" justifyLastLine="0" shrinkToFit="0" readingOrder="0"/>
      <protection locked="0" hidden="0"/>
    </dxf>
    <dxf>
      <alignment vertical="center" textRotation="0" indent="0" justifyLastLine="0" shrinkToFit="0" readingOrder="0"/>
    </dxf>
    <dxf>
      <alignment vertical="center" textRotation="0"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numFmt numFmtId="34" formatCode="_(&quot;$&quot;* #,##0.00_);_(&quot;$&quot;* \(#,##0.00\);_(&quot;$&quot;* &quot;-&quot;??_);_(@_)"/>
    </dxf>
    <dxf>
      <numFmt numFmtId="10" formatCode="&quot;$&quot;#,##0_);[Red]\(&quot;$&quot;#,##0\)"/>
      <alignment vertical="center" textRotation="0" indent="0" justifyLastLine="0" shrinkToFit="0" readingOrder="0"/>
      <protection locked="1" hidden="1"/>
    </dxf>
    <dxf>
      <numFmt numFmtId="12" formatCode="&quot;$&quot;#,##0.00_);[Red]\(&quot;$&quot;#,##0.00\)"/>
    </dxf>
    <dxf>
      <numFmt numFmtId="10" formatCode="&quot;$&quot;#,##0_);[Red]\(&quot;$&quot;#,##0\)"/>
      <alignment vertical="center" textRotation="0" indent="0" justifyLastLine="0" shrinkToFit="0" readingOrder="0"/>
      <protection locked="1" hidden="1"/>
    </dxf>
    <dxf>
      <numFmt numFmtId="12" formatCode="&quot;$&quot;#,##0.00_);[Red]\(&quot;$&quot;#,##0.00\)"/>
    </dxf>
    <dxf>
      <numFmt numFmtId="10" formatCode="&quot;$&quot;#,##0_);[Red]\(&quot;$&quot;#,##0\)"/>
      <alignment vertical="center" textRotation="0" indent="0" justifyLastLine="0" shrinkToFit="0" readingOrder="0"/>
      <protection locked="1" hidden="1"/>
    </dxf>
    <dxf>
      <numFmt numFmtId="0" formatCode="General"/>
      <alignment horizontal="center" vertical="bottom"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bottom" textRotation="0" wrapText="0" indent="0" justifyLastLine="0" shrinkToFit="0" readingOrder="0"/>
    </dxf>
    <dxf>
      <alignment horizontal="center" vertical="center" textRotation="0" wrapText="0" indent="0" justifyLastLine="0" shrinkToFit="0" readingOrder="0"/>
      <protection locked="0" hidden="0"/>
    </dxf>
    <dxf>
      <alignment horizontal="center" vertical="bottom" textRotation="0" wrapText="0" indent="0" justifyLastLine="0" shrinkToFit="0" readingOrder="0"/>
    </dxf>
    <dxf>
      <alignment horizontal="center" vertical="center" textRotation="0" wrapText="0" indent="0" justifyLastLine="0" shrinkToFit="0" readingOrder="0"/>
      <protection locked="0" hidden="0"/>
    </dxf>
    <dxf>
      <alignment horizontal="center" vertical="bottom" textRotation="0" wrapText="0" indent="0" justifyLastLine="0" shrinkToFit="0" readingOrder="0"/>
    </dxf>
    <dxf>
      <alignment horizontal="center" vertical="center" textRotation="0" wrapText="0" indent="0" justifyLastLine="0" shrinkToFit="0" readingOrder="0"/>
      <protection locked="0" hidden="0"/>
    </dxf>
    <dxf>
      <font>
        <b val="0"/>
        <i val="0"/>
        <strike val="0"/>
        <condense val="0"/>
        <extend val="0"/>
        <outline val="0"/>
        <shadow val="0"/>
        <u val="none"/>
        <vertAlign val="baseline"/>
        <sz val="10"/>
        <color auto="1"/>
        <name val="Arial"/>
        <scheme val="none"/>
      </font>
      <numFmt numFmtId="166" formatCode="_(&quot;$&quot;* #,##0_);_(&quot;$&quot;* \(#,##0\);_(&quot;$&quot;* &quot;-&quot;??_);_(@_)"/>
    </dxf>
    <dxf>
      <font>
        <b val="0"/>
        <i val="0"/>
        <strike val="0"/>
        <condense val="0"/>
        <extend val="0"/>
        <outline val="0"/>
        <shadow val="0"/>
        <u val="none"/>
        <vertAlign val="baseline"/>
        <sz val="10"/>
        <color auto="1"/>
        <name val="Arial"/>
        <scheme val="none"/>
      </font>
      <numFmt numFmtId="166" formatCode="_(&quot;$&quot;* #,##0_);_(&quot;$&quot;* \(#,##0\);_(&quot;$&quot;* &quot;-&quot;??_);_(@_)"/>
      <alignment vertical="center" textRotation="0" indent="0" justifyLastLine="0" shrinkToFit="0" readingOrder="0"/>
      <protection locked="0" hidden="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numFmt numFmtId="169" formatCode="0.0%"/>
      <alignment horizontal="center" vertical="center" textRotation="0" wrapText="0" indent="0" justifyLastLine="0" shrinkToFit="0" readingOrder="0"/>
      <protection locked="0" hidden="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alignment vertical="center" textRotation="0" indent="0" justifyLastLine="0" shrinkToFit="0" readingOrder="0"/>
      <protection locked="0" hidden="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alignment vertical="center" textRotation="0" indent="0" justifyLastLine="0" shrinkToFit="0" readingOrder="0"/>
      <protection locked="0" hidden="0"/>
    </dxf>
    <dxf>
      <alignment vertical="center" textRotation="0" indent="0" justifyLastLine="0" shrinkToFit="0" readingOrder="0"/>
    </dxf>
    <dxf>
      <alignment vertical="center" textRotation="0"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numFmt numFmtId="34" formatCode="_(&quot;$&quot;* #,##0.00_);_(&quot;$&quot;* \(#,##0.00\);_(&quot;$&quot;* &quot;-&quot;??_);_(@_)"/>
    </dxf>
    <dxf>
      <numFmt numFmtId="10" formatCode="&quot;$&quot;#,##0_);[Red]\(&quot;$&quot;#,##0\)"/>
      <alignment vertical="center" textRotation="0" indent="0" justifyLastLine="0" shrinkToFit="0" readingOrder="0"/>
      <protection locked="1" hidden="1"/>
    </dxf>
    <dxf>
      <numFmt numFmtId="12" formatCode="&quot;$&quot;#,##0.00_);[Red]\(&quot;$&quot;#,##0.00\)"/>
    </dxf>
    <dxf>
      <numFmt numFmtId="10" formatCode="&quot;$&quot;#,##0_);[Red]\(&quot;$&quot;#,##0\)"/>
      <alignment vertical="center" textRotation="0" indent="0" justifyLastLine="0" shrinkToFit="0" readingOrder="0"/>
      <protection locked="1" hidden="1"/>
    </dxf>
    <dxf>
      <numFmt numFmtId="12" formatCode="&quot;$&quot;#,##0.00_);[Red]\(&quot;$&quot;#,##0.00\)"/>
    </dxf>
    <dxf>
      <numFmt numFmtId="10" formatCode="&quot;$&quot;#,##0_);[Red]\(&quot;$&quot;#,##0\)"/>
      <alignment vertical="center" textRotation="0" indent="0" justifyLastLine="0" shrinkToFit="0" readingOrder="0"/>
      <protection locked="1" hidden="1"/>
    </dxf>
    <dxf>
      <numFmt numFmtId="0" formatCode="General"/>
      <alignment horizontal="center" vertical="bottom"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bottom" textRotation="0" wrapText="0" indent="0" justifyLastLine="0" shrinkToFit="0" readingOrder="0"/>
    </dxf>
    <dxf>
      <alignment horizontal="center" vertical="center" textRotation="0" wrapText="0" indent="0" justifyLastLine="0" shrinkToFit="0" readingOrder="0"/>
      <protection locked="0" hidden="0"/>
    </dxf>
    <dxf>
      <alignment horizontal="center" vertical="bottom" textRotation="0" wrapText="0" indent="0" justifyLastLine="0" shrinkToFit="0" readingOrder="0"/>
    </dxf>
    <dxf>
      <alignment horizontal="center" vertical="center" textRotation="0" wrapText="0" indent="0" justifyLastLine="0" shrinkToFit="0" readingOrder="0"/>
      <protection locked="0" hidden="0"/>
    </dxf>
    <dxf>
      <alignment horizontal="center" vertical="bottom" textRotation="0" wrapText="0" indent="0" justifyLastLine="0" shrinkToFit="0" readingOrder="0"/>
    </dxf>
    <dxf>
      <alignment horizontal="center" vertical="center" textRotation="0" wrapText="0" indent="0" justifyLastLine="0" shrinkToFit="0" readingOrder="0"/>
      <protection locked="0" hidden="0"/>
    </dxf>
    <dxf>
      <font>
        <b val="0"/>
        <i val="0"/>
        <strike val="0"/>
        <condense val="0"/>
        <extend val="0"/>
        <outline val="0"/>
        <shadow val="0"/>
        <u val="none"/>
        <vertAlign val="baseline"/>
        <sz val="10"/>
        <color auto="1"/>
        <name val="Arial"/>
        <scheme val="none"/>
      </font>
      <numFmt numFmtId="166" formatCode="_(&quot;$&quot;* #,##0_);_(&quot;$&quot;* \(#,##0\);_(&quot;$&quot;* &quot;-&quot;??_);_(@_)"/>
    </dxf>
    <dxf>
      <font>
        <b val="0"/>
        <i val="0"/>
        <strike val="0"/>
        <condense val="0"/>
        <extend val="0"/>
        <outline val="0"/>
        <shadow val="0"/>
        <u val="none"/>
        <vertAlign val="baseline"/>
        <sz val="10"/>
        <color auto="1"/>
        <name val="Arial"/>
        <scheme val="none"/>
      </font>
      <numFmt numFmtId="166" formatCode="_(&quot;$&quot;* #,##0_);_(&quot;$&quot;* \(#,##0\);_(&quot;$&quot;* &quot;-&quot;??_);_(@_)"/>
      <alignment vertical="center" textRotation="0" indent="0" justifyLastLine="0" shrinkToFit="0" readingOrder="0"/>
      <protection locked="0" hidden="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numFmt numFmtId="169" formatCode="0.0%"/>
      <alignment horizontal="center" vertical="center" textRotation="0" wrapText="0" indent="0" justifyLastLine="0" shrinkToFit="0" readingOrder="0"/>
      <protection locked="0" hidden="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alignment vertical="center" textRotation="0" indent="0" justifyLastLine="0" shrinkToFit="0" readingOrder="0"/>
      <protection locked="0" hidden="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alignment vertical="center" textRotation="0" indent="0" justifyLastLine="0" shrinkToFit="0" readingOrder="0"/>
      <protection locked="0" hidden="0"/>
    </dxf>
    <dxf>
      <alignment vertical="center" textRotation="0" indent="0" justifyLastLine="0" shrinkToFit="0" readingOrder="0"/>
    </dxf>
    <dxf>
      <alignment vertical="center" textRotation="0"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numFmt numFmtId="34" formatCode="_(&quot;$&quot;* #,##0.00_);_(&quot;$&quot;* \(#,##0.00\);_(&quot;$&quot;* &quot;-&quot;??_);_(@_)"/>
    </dxf>
    <dxf>
      <numFmt numFmtId="10" formatCode="&quot;$&quot;#,##0_);[Red]\(&quot;$&quot;#,##0\)"/>
      <alignment vertical="center" textRotation="0" indent="0" justifyLastLine="0" shrinkToFit="0" readingOrder="0"/>
      <protection locked="1" hidden="1"/>
    </dxf>
    <dxf>
      <numFmt numFmtId="12" formatCode="&quot;$&quot;#,##0.00_);[Red]\(&quot;$&quot;#,##0.00\)"/>
    </dxf>
    <dxf>
      <numFmt numFmtId="10" formatCode="&quot;$&quot;#,##0_);[Red]\(&quot;$&quot;#,##0\)"/>
      <alignment vertical="center" textRotation="0" indent="0" justifyLastLine="0" shrinkToFit="0" readingOrder="0"/>
      <protection locked="1" hidden="1"/>
    </dxf>
    <dxf>
      <numFmt numFmtId="12" formatCode="&quot;$&quot;#,##0.00_);[Red]\(&quot;$&quot;#,##0.00\)"/>
    </dxf>
    <dxf>
      <numFmt numFmtId="10" formatCode="&quot;$&quot;#,##0_);[Red]\(&quot;$&quot;#,##0\)"/>
      <alignment vertical="center" textRotation="0" indent="0" justifyLastLine="0" shrinkToFit="0" readingOrder="0"/>
      <protection locked="1" hidden="1"/>
    </dxf>
    <dxf>
      <numFmt numFmtId="0" formatCode="General"/>
      <alignment horizontal="center" vertical="bottom"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bottom" textRotation="0" wrapText="0" indent="0" justifyLastLine="0" shrinkToFit="0" readingOrder="0"/>
    </dxf>
    <dxf>
      <alignment horizontal="center" vertical="center" textRotation="0" wrapText="0" indent="0" justifyLastLine="0" shrinkToFit="0" readingOrder="0"/>
      <protection locked="0" hidden="0"/>
    </dxf>
    <dxf>
      <alignment horizontal="center" vertical="bottom" textRotation="0" wrapText="0" indent="0" justifyLastLine="0" shrinkToFit="0" readingOrder="0"/>
    </dxf>
    <dxf>
      <alignment horizontal="center" vertical="center" textRotation="0" wrapText="0" indent="0" justifyLastLine="0" shrinkToFit="0" readingOrder="0"/>
      <protection locked="0" hidden="0"/>
    </dxf>
    <dxf>
      <alignment horizontal="center" vertical="bottom" textRotation="0" wrapText="0" indent="0" justifyLastLine="0" shrinkToFit="0" readingOrder="0"/>
    </dxf>
    <dxf>
      <alignment horizontal="center" vertical="center" textRotation="0" wrapText="0" indent="0" justifyLastLine="0" shrinkToFit="0" readingOrder="0"/>
      <protection locked="0" hidden="0"/>
    </dxf>
    <dxf>
      <font>
        <b val="0"/>
        <i val="0"/>
        <strike val="0"/>
        <condense val="0"/>
        <extend val="0"/>
        <outline val="0"/>
        <shadow val="0"/>
        <u val="none"/>
        <vertAlign val="baseline"/>
        <sz val="10"/>
        <color auto="1"/>
        <name val="Arial"/>
        <scheme val="none"/>
      </font>
      <numFmt numFmtId="166" formatCode="_(&quot;$&quot;* #,##0_);_(&quot;$&quot;* \(#,##0\);_(&quot;$&quot;* &quot;-&quot;??_);_(@_)"/>
    </dxf>
    <dxf>
      <font>
        <b val="0"/>
        <i val="0"/>
        <strike val="0"/>
        <condense val="0"/>
        <extend val="0"/>
        <outline val="0"/>
        <shadow val="0"/>
        <u val="none"/>
        <vertAlign val="baseline"/>
        <sz val="10"/>
        <color auto="1"/>
        <name val="Arial"/>
        <scheme val="none"/>
      </font>
      <numFmt numFmtId="166" formatCode="_(&quot;$&quot;* #,##0_);_(&quot;$&quot;* \(#,##0\);_(&quot;$&quot;* &quot;-&quot;??_);_(@_)"/>
      <alignment vertical="center" textRotation="0" indent="0" justifyLastLine="0" shrinkToFit="0" readingOrder="0"/>
      <protection locked="0" hidden="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numFmt numFmtId="169" formatCode="0.0%"/>
      <alignment horizontal="center" vertical="center" textRotation="0" wrapText="0" indent="0" justifyLastLine="0" shrinkToFit="0" readingOrder="0"/>
      <protection locked="0" hidden="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alignment vertical="center" textRotation="0" indent="0" justifyLastLine="0" shrinkToFit="0" readingOrder="0"/>
      <protection locked="0" hidden="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alignment vertical="center" textRotation="0" indent="0" justifyLastLine="0" shrinkToFit="0" readingOrder="0"/>
      <protection locked="0" hidden="0"/>
    </dxf>
    <dxf>
      <alignment vertical="center" textRotation="0" indent="0" justifyLastLine="0" shrinkToFit="0" readingOrder="0"/>
    </dxf>
    <dxf>
      <alignment vertical="center" textRotation="0"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numFmt numFmtId="34" formatCode="_(&quot;$&quot;* #,##0.00_);_(&quot;$&quot;* \(#,##0.00\);_(&quot;$&quot;* &quot;-&quot;??_);_(@_)"/>
    </dxf>
    <dxf>
      <numFmt numFmtId="10" formatCode="&quot;$&quot;#,##0_);[Red]\(&quot;$&quot;#,##0\)"/>
      <alignment vertical="center" textRotation="0" indent="0" justifyLastLine="0" shrinkToFit="0" readingOrder="0"/>
      <protection locked="1" hidden="1"/>
    </dxf>
    <dxf>
      <numFmt numFmtId="12" formatCode="&quot;$&quot;#,##0.00_);[Red]\(&quot;$&quot;#,##0.00\)"/>
    </dxf>
    <dxf>
      <numFmt numFmtId="10" formatCode="&quot;$&quot;#,##0_);[Red]\(&quot;$&quot;#,##0\)"/>
      <alignment vertical="center" textRotation="0" indent="0" justifyLastLine="0" shrinkToFit="0" readingOrder="0"/>
      <protection locked="1" hidden="1"/>
    </dxf>
    <dxf>
      <numFmt numFmtId="12" formatCode="&quot;$&quot;#,##0.00_);[Red]\(&quot;$&quot;#,##0.00\)"/>
    </dxf>
    <dxf>
      <numFmt numFmtId="10" formatCode="&quot;$&quot;#,##0_);[Red]\(&quot;$&quot;#,##0\)"/>
      <alignment vertical="center" textRotation="0" indent="0" justifyLastLine="0" shrinkToFit="0" readingOrder="0"/>
      <protection locked="1" hidden="1"/>
    </dxf>
    <dxf>
      <numFmt numFmtId="0" formatCode="General"/>
      <alignment horizontal="center" vertical="bottom"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bottom" textRotation="0" wrapText="0" indent="0" justifyLastLine="0" shrinkToFit="0" readingOrder="0"/>
    </dxf>
    <dxf>
      <alignment horizontal="center" vertical="center" textRotation="0" wrapText="0" indent="0" justifyLastLine="0" shrinkToFit="0" readingOrder="0"/>
      <protection locked="0" hidden="0"/>
    </dxf>
    <dxf>
      <alignment horizontal="center" vertical="bottom" textRotation="0" wrapText="0" indent="0" justifyLastLine="0" shrinkToFit="0" readingOrder="0"/>
    </dxf>
    <dxf>
      <alignment horizontal="center" vertical="center" textRotation="0" wrapText="0" indent="0" justifyLastLine="0" shrinkToFit="0" readingOrder="0"/>
      <protection locked="0" hidden="0"/>
    </dxf>
    <dxf>
      <alignment horizontal="center" vertical="bottom" textRotation="0" wrapText="0" indent="0" justifyLastLine="0" shrinkToFit="0" readingOrder="0"/>
    </dxf>
    <dxf>
      <alignment horizontal="center" vertical="center" textRotation="0" wrapText="0" indent="0" justifyLastLine="0" shrinkToFit="0" readingOrder="0"/>
      <protection locked="0" hidden="0"/>
    </dxf>
    <dxf>
      <font>
        <b val="0"/>
        <i val="0"/>
        <strike val="0"/>
        <condense val="0"/>
        <extend val="0"/>
        <outline val="0"/>
        <shadow val="0"/>
        <u val="none"/>
        <vertAlign val="baseline"/>
        <sz val="10"/>
        <color auto="1"/>
        <name val="Arial"/>
        <scheme val="none"/>
      </font>
      <numFmt numFmtId="166" formatCode="_(&quot;$&quot;* #,##0_);_(&quot;$&quot;* \(#,##0\);_(&quot;$&quot;* &quot;-&quot;??_);_(@_)"/>
    </dxf>
    <dxf>
      <font>
        <b val="0"/>
        <i val="0"/>
        <strike val="0"/>
        <condense val="0"/>
        <extend val="0"/>
        <outline val="0"/>
        <shadow val="0"/>
        <u val="none"/>
        <vertAlign val="baseline"/>
        <sz val="10"/>
        <color auto="1"/>
        <name val="Arial"/>
        <scheme val="none"/>
      </font>
      <numFmt numFmtId="166" formatCode="_(&quot;$&quot;* #,##0_);_(&quot;$&quot;* \(#,##0\);_(&quot;$&quot;* &quot;-&quot;??_);_(@_)"/>
      <alignment vertical="center" textRotation="0" indent="0" justifyLastLine="0" shrinkToFit="0" readingOrder="0"/>
      <protection locked="0" hidden="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numFmt numFmtId="169" formatCode="0.0%"/>
      <alignment horizontal="center" vertical="center" textRotation="0" wrapText="0" indent="0" justifyLastLine="0" shrinkToFit="0" readingOrder="0"/>
      <protection locked="0" hidden="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alignment vertical="center" textRotation="0" indent="0" justifyLastLine="0" shrinkToFit="0" readingOrder="0"/>
      <protection locked="0" hidden="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alignment vertical="center" textRotation="0" indent="0" justifyLastLine="0" shrinkToFit="0" readingOrder="0"/>
      <protection locked="0" hidden="0"/>
    </dxf>
    <dxf>
      <alignment vertical="center" textRotation="0" indent="0" justifyLastLine="0" shrinkToFit="0" readingOrder="0"/>
    </dxf>
    <dxf>
      <alignment vertical="center" textRotation="0"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numFmt numFmtId="34" formatCode="_(&quot;$&quot;* #,##0.00_);_(&quot;$&quot;* \(#,##0.00\);_(&quot;$&quot;* &quot;-&quot;??_);_(@_)"/>
    </dxf>
    <dxf>
      <numFmt numFmtId="10" formatCode="&quot;$&quot;#,##0_);[Red]\(&quot;$&quot;#,##0\)"/>
      <alignment vertical="center" textRotation="0" indent="0" justifyLastLine="0" shrinkToFit="0" readingOrder="0"/>
      <protection locked="1" hidden="1"/>
    </dxf>
    <dxf>
      <numFmt numFmtId="12" formatCode="&quot;$&quot;#,##0.00_);[Red]\(&quot;$&quot;#,##0.00\)"/>
    </dxf>
    <dxf>
      <numFmt numFmtId="10" formatCode="&quot;$&quot;#,##0_);[Red]\(&quot;$&quot;#,##0\)"/>
      <alignment vertical="center" textRotation="0" indent="0" justifyLastLine="0" shrinkToFit="0" readingOrder="0"/>
      <protection locked="1" hidden="1"/>
    </dxf>
    <dxf>
      <numFmt numFmtId="12" formatCode="&quot;$&quot;#,##0.00_);[Red]\(&quot;$&quot;#,##0.00\)"/>
    </dxf>
    <dxf>
      <numFmt numFmtId="10" formatCode="&quot;$&quot;#,##0_);[Red]\(&quot;$&quot;#,##0\)"/>
      <alignment vertical="center" textRotation="0" indent="0" justifyLastLine="0" shrinkToFit="0" readingOrder="0"/>
      <protection locked="1" hidden="1"/>
    </dxf>
    <dxf>
      <numFmt numFmtId="0" formatCode="General"/>
      <alignment horizontal="center" vertical="bottom"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bottom" textRotation="0" wrapText="0" indent="0" justifyLastLine="0" shrinkToFit="0" readingOrder="0"/>
    </dxf>
    <dxf>
      <alignment horizontal="center" vertical="center" textRotation="0" wrapText="0" indent="0" justifyLastLine="0" shrinkToFit="0" readingOrder="0"/>
      <protection locked="0" hidden="0"/>
    </dxf>
    <dxf>
      <alignment horizontal="center" vertical="bottom" textRotation="0" wrapText="0" indent="0" justifyLastLine="0" shrinkToFit="0" readingOrder="0"/>
    </dxf>
    <dxf>
      <alignment horizontal="center" vertical="center" textRotation="0" wrapText="0" indent="0" justifyLastLine="0" shrinkToFit="0" readingOrder="0"/>
      <protection locked="0" hidden="0"/>
    </dxf>
    <dxf>
      <alignment horizontal="center" vertical="bottom" textRotation="0" wrapText="0" indent="0" justifyLastLine="0" shrinkToFit="0" readingOrder="0"/>
    </dxf>
    <dxf>
      <alignment horizontal="center" vertical="center" textRotation="0" wrapText="0" indent="0" justifyLastLine="0" shrinkToFit="0" readingOrder="0"/>
      <protection locked="0" hidden="0"/>
    </dxf>
    <dxf>
      <font>
        <b val="0"/>
        <i val="0"/>
        <strike val="0"/>
        <condense val="0"/>
        <extend val="0"/>
        <outline val="0"/>
        <shadow val="0"/>
        <u val="none"/>
        <vertAlign val="baseline"/>
        <sz val="10"/>
        <color auto="1"/>
        <name val="Arial"/>
        <scheme val="none"/>
      </font>
      <numFmt numFmtId="166" formatCode="_(&quot;$&quot;* #,##0_);_(&quot;$&quot;* \(#,##0\);_(&quot;$&quot;* &quot;-&quot;??_);_(@_)"/>
    </dxf>
    <dxf>
      <font>
        <b val="0"/>
        <i val="0"/>
        <strike val="0"/>
        <condense val="0"/>
        <extend val="0"/>
        <outline val="0"/>
        <shadow val="0"/>
        <u val="none"/>
        <vertAlign val="baseline"/>
        <sz val="10"/>
        <color auto="1"/>
        <name val="Arial"/>
        <scheme val="none"/>
      </font>
      <numFmt numFmtId="166" formatCode="_(&quot;$&quot;* #,##0_);_(&quot;$&quot;* \(#,##0\);_(&quot;$&quot;* &quot;-&quot;??_);_(@_)"/>
      <alignment vertical="center" textRotation="0" indent="0" justifyLastLine="0" shrinkToFit="0" readingOrder="0"/>
      <protection locked="0" hidden="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numFmt numFmtId="169" formatCode="0.0%"/>
      <alignment horizontal="center" vertical="center" textRotation="0" wrapText="0" indent="0" justifyLastLine="0" shrinkToFit="0" readingOrder="0"/>
      <protection locked="0" hidden="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alignment vertical="center" textRotation="0" indent="0" justifyLastLine="0" shrinkToFit="0" readingOrder="0"/>
      <protection locked="0" hidden="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alignment vertical="center" textRotation="0" indent="0" justifyLastLine="0" shrinkToFit="0" readingOrder="0"/>
      <protection locked="0" hidden="0"/>
    </dxf>
    <dxf>
      <alignment vertical="center" textRotation="0" indent="0" justifyLastLine="0" shrinkToFit="0" readingOrder="0"/>
    </dxf>
    <dxf>
      <alignment vertical="center" textRotation="0"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9"/>
        <color auto="1"/>
        <name val="Arial"/>
        <scheme val="none"/>
      </font>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34" formatCode="_(&quot;$&quot;* #,##0.00_);_(&quot;$&quot;* \(#,##0.00\);_(&quot;$&quot;* &quot;-&quot;??_);_(@_)"/>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34" formatCode="_(&quot;$&quot;* #,##0.00_);_(&quot;$&quot;* \(#,##0.00\);_(&quot;$&quot;* &quot;-&quot;??_);_(@_)"/>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ont>
        <b val="0"/>
        <i val="0"/>
        <strike val="0"/>
        <condense val="0"/>
        <extend val="0"/>
        <outline val="0"/>
        <shadow val="0"/>
        <u val="none"/>
        <vertAlign val="baseline"/>
        <sz val="9"/>
        <color auto="1"/>
        <name val="Arial"/>
        <scheme val="none"/>
      </font>
      <numFmt numFmtId="35" formatCode="_(* #,##0.00_);_(* \(#,##0.00\);_(* &quot;-&quot;??_);_(@_)"/>
      <protection locked="0" hidden="0"/>
    </dxf>
    <dxf>
      <font>
        <b val="0"/>
        <i val="0"/>
        <strike val="0"/>
        <condense val="0"/>
        <extend val="0"/>
        <outline val="0"/>
        <shadow val="0"/>
        <u val="none"/>
        <vertAlign val="baseline"/>
        <sz val="9"/>
        <color auto="1"/>
        <name val="Arial"/>
        <scheme val="none"/>
      </font>
      <numFmt numFmtId="0" formatCode="General"/>
      <fill>
        <patternFill patternType="none">
          <fgColor indexed="64"/>
          <bgColor indexed="65"/>
        </patternFill>
      </fill>
      <alignment horizontal="right" vertical="bottom" textRotation="0" wrapText="0" indent="0" justifyLastLine="0" shrinkToFit="0" readingOrder="0"/>
      <protection locked="0" hidden="0"/>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lor theme="0"/>
      </font>
    </dxf>
    <dxf>
      <fill>
        <patternFill patternType="solid">
          <fgColor theme="4" tint="0.59999389629810485"/>
          <bgColor theme="4" tint="0.59999389629810485"/>
        </patternFill>
      </fill>
    </dxf>
    <dxf>
      <fill>
        <patternFill>
          <bgColor rgb="FFF0EFED"/>
        </patternFill>
      </fill>
    </dxf>
    <dxf>
      <fill>
        <patternFill patternType="solid">
          <fgColor theme="4" tint="0.59999389629810485"/>
          <bgColor rgb="FFF0EFED"/>
        </patternFill>
      </fill>
    </dxf>
    <dxf>
      <font>
        <b/>
        <color theme="0"/>
      </font>
      <fill>
        <patternFill patternType="solid">
          <fgColor theme="4"/>
          <bgColor theme="4"/>
        </patternFill>
      </fill>
    </dxf>
    <dxf>
      <font>
        <b/>
        <color theme="0"/>
      </font>
      <fill>
        <patternFill patternType="solid">
          <fgColor theme="4"/>
          <bgColor theme="4"/>
        </patternFill>
      </fill>
    </dxf>
    <dxf>
      <font>
        <b/>
        <color theme="0"/>
      </font>
      <fill>
        <patternFill patternType="solid">
          <fgColor theme="4"/>
          <bgColor theme="4"/>
        </patternFill>
      </fill>
      <border>
        <top style="thick">
          <color theme="0"/>
        </top>
      </border>
    </dxf>
    <dxf>
      <font>
        <b/>
        <color theme="0"/>
      </font>
      <fill>
        <patternFill patternType="solid">
          <fgColor theme="4"/>
          <bgColor rgb="FFF37321"/>
        </patternFill>
      </fill>
      <border>
        <bottom style="thick">
          <color theme="0"/>
        </bottom>
      </border>
    </dxf>
    <dxf>
      <font>
        <color theme="1"/>
      </font>
      <fill>
        <patternFill patternType="solid">
          <fgColor theme="4" tint="0.79998168889431442"/>
          <bgColor theme="4" tint="0.79998168889431442"/>
        </patternFill>
      </fill>
      <border>
        <vertical style="thin">
          <color theme="0"/>
        </vertical>
        <horizontal style="thin">
          <color theme="0"/>
        </horizontal>
      </border>
    </dxf>
    <dxf>
      <fill>
        <patternFill patternType="solid">
          <fgColor theme="4" tint="0.59999389629810485"/>
          <bgColor theme="4" tint="0.59999389629810485"/>
        </patternFill>
      </fill>
    </dxf>
    <dxf>
      <fill>
        <patternFill>
          <bgColor rgb="FF96DAE2"/>
        </patternFill>
      </fill>
    </dxf>
    <dxf>
      <fill>
        <patternFill patternType="solid">
          <fgColor theme="4" tint="0.59999389629810485"/>
          <bgColor rgb="FFF0EFED"/>
        </patternFill>
      </fill>
    </dxf>
    <dxf>
      <font>
        <b/>
        <color theme="0"/>
      </font>
      <fill>
        <patternFill patternType="solid">
          <fgColor theme="4"/>
          <bgColor rgb="FFF37321"/>
        </patternFill>
      </fill>
    </dxf>
    <dxf>
      <font>
        <b/>
        <color theme="0"/>
      </font>
      <fill>
        <patternFill patternType="solid">
          <fgColor theme="4"/>
          <bgColor theme="4"/>
        </patternFill>
      </fill>
    </dxf>
    <dxf>
      <font>
        <b/>
        <color theme="0"/>
      </font>
      <fill>
        <patternFill patternType="solid">
          <fgColor theme="4"/>
          <bgColor theme="4"/>
        </patternFill>
      </fill>
      <border>
        <top style="thick">
          <color theme="0"/>
        </top>
      </border>
    </dxf>
    <dxf>
      <font>
        <b/>
        <color theme="0"/>
      </font>
      <fill>
        <patternFill patternType="solid">
          <fgColor theme="4"/>
          <bgColor rgb="FFF37321"/>
        </patternFill>
      </fill>
      <border>
        <bottom style="thick">
          <color theme="0"/>
        </bottom>
      </border>
    </dxf>
    <dxf>
      <font>
        <color theme="1"/>
      </font>
      <fill>
        <patternFill patternType="solid">
          <fgColor theme="4" tint="0.79998168889431442"/>
          <bgColor theme="4" tint="0.79998168889431442"/>
        </patternFill>
      </fill>
      <border>
        <vertical style="thin">
          <color theme="0"/>
        </vertical>
        <horizontal style="thin">
          <color theme="0"/>
        </horizontal>
      </border>
    </dxf>
    <dxf>
      <fill>
        <patternFill patternType="solid">
          <fgColor theme="4" tint="0.59999389629810485"/>
          <bgColor theme="4" tint="0.59999389629810485"/>
        </patternFill>
      </fill>
    </dxf>
    <dxf>
      <fill>
        <patternFill>
          <bgColor rgb="FF96DAE2"/>
        </patternFill>
      </fill>
    </dxf>
    <dxf>
      <fill>
        <patternFill patternType="solid">
          <fgColor theme="4" tint="0.59999389629810485"/>
          <bgColor rgb="FF96DAE2"/>
        </patternFill>
      </fill>
    </dxf>
    <dxf>
      <font>
        <b/>
        <color theme="0"/>
      </font>
      <fill>
        <patternFill patternType="solid">
          <fgColor theme="4"/>
          <bgColor theme="4"/>
        </patternFill>
      </fill>
    </dxf>
    <dxf>
      <font>
        <b/>
        <color theme="0"/>
      </font>
      <fill>
        <patternFill patternType="solid">
          <fgColor theme="4"/>
          <bgColor theme="4"/>
        </patternFill>
      </fill>
    </dxf>
    <dxf>
      <font>
        <b/>
        <color theme="0"/>
      </font>
      <fill>
        <patternFill patternType="solid">
          <fgColor theme="4"/>
          <bgColor theme="4"/>
        </patternFill>
      </fill>
      <border>
        <top style="thick">
          <color theme="0"/>
        </top>
      </border>
    </dxf>
    <dxf>
      <font>
        <b/>
        <color theme="0"/>
      </font>
      <fill>
        <patternFill patternType="solid">
          <fgColor theme="4"/>
          <bgColor rgb="FFF37321"/>
        </patternFill>
      </fill>
      <border>
        <bottom style="thick">
          <color theme="0"/>
        </bottom>
      </border>
    </dxf>
    <dxf>
      <font>
        <color theme="1"/>
      </font>
      <fill>
        <patternFill patternType="solid">
          <fgColor theme="4" tint="0.79998168889431442"/>
          <bgColor theme="4" tint="0.79998168889431442"/>
        </patternFill>
      </fill>
      <border>
        <vertical style="thin">
          <color theme="0"/>
        </vertical>
        <horizontal style="thin">
          <color theme="0"/>
        </horizontal>
      </border>
    </dxf>
    <dxf>
      <fill>
        <patternFill patternType="solid">
          <fgColor theme="4" tint="0.59999389629810485"/>
          <bgColor theme="4" tint="0.59999389629810485"/>
        </patternFill>
      </fill>
    </dxf>
    <dxf>
      <fill>
        <patternFill>
          <bgColor rgb="FF96DAE2"/>
        </patternFill>
      </fill>
    </dxf>
    <dxf>
      <fill>
        <patternFill patternType="solid">
          <fgColor theme="4" tint="0.59999389629810485"/>
          <bgColor rgb="FFF0EFED"/>
        </patternFill>
      </fill>
    </dxf>
    <dxf>
      <font>
        <b/>
        <color theme="0"/>
      </font>
      <fill>
        <patternFill patternType="solid">
          <fgColor theme="4"/>
          <bgColor theme="4"/>
        </patternFill>
      </fill>
    </dxf>
    <dxf>
      <font>
        <b/>
        <color theme="0"/>
      </font>
      <fill>
        <patternFill patternType="solid">
          <fgColor theme="4"/>
          <bgColor theme="4"/>
        </patternFill>
      </fill>
    </dxf>
    <dxf>
      <font>
        <b/>
        <color theme="0"/>
      </font>
      <fill>
        <patternFill patternType="solid">
          <fgColor theme="4"/>
          <bgColor theme="4"/>
        </patternFill>
      </fill>
      <border>
        <top style="thick">
          <color theme="0"/>
        </top>
      </border>
    </dxf>
    <dxf>
      <font>
        <b/>
        <color theme="0"/>
      </font>
      <fill>
        <patternFill patternType="solid">
          <fgColor theme="4"/>
          <bgColor rgb="FF5ADABD"/>
        </patternFill>
      </fill>
      <border>
        <bottom style="thick">
          <color theme="0"/>
        </bottom>
      </border>
    </dxf>
    <dxf>
      <font>
        <color theme="1"/>
      </font>
      <fill>
        <patternFill patternType="solid">
          <fgColor theme="4" tint="0.79998168889431442"/>
          <bgColor theme="4" tint="0.79998168889431442"/>
        </patternFill>
      </fill>
      <border>
        <vertical style="thin">
          <color theme="0"/>
        </vertical>
        <horizontal style="thin">
          <color theme="0"/>
        </horizontal>
      </border>
    </dxf>
    <dxf>
      <fill>
        <patternFill patternType="solid">
          <fgColor theme="4" tint="0.59999389629810485"/>
          <bgColor theme="4" tint="0.59999389629810485"/>
        </patternFill>
      </fill>
    </dxf>
    <dxf>
      <fill>
        <patternFill patternType="solid">
          <fgColor theme="4" tint="0.59999389629810485"/>
          <bgColor rgb="FFF0EFED"/>
        </patternFill>
      </fill>
    </dxf>
    <dxf>
      <font>
        <b/>
        <color theme="0"/>
      </font>
      <fill>
        <patternFill patternType="solid">
          <fgColor theme="4"/>
          <bgColor theme="4"/>
        </patternFill>
      </fill>
    </dxf>
    <dxf>
      <font>
        <b/>
        <color theme="0"/>
      </font>
      <fill>
        <patternFill patternType="solid">
          <fgColor theme="4"/>
          <bgColor theme="4"/>
        </patternFill>
      </fill>
    </dxf>
    <dxf>
      <font>
        <b/>
        <color theme="0"/>
      </font>
      <fill>
        <patternFill patternType="solid">
          <fgColor theme="4"/>
          <bgColor theme="4"/>
        </patternFill>
      </fill>
      <border>
        <top style="thick">
          <color theme="0"/>
        </top>
      </border>
    </dxf>
    <dxf>
      <font>
        <b/>
        <color theme="0"/>
      </font>
      <fill>
        <patternFill patternType="solid">
          <fgColor theme="4"/>
          <bgColor rgb="FF5ADAE2"/>
        </patternFill>
      </fill>
      <border>
        <bottom style="thick">
          <color theme="0"/>
        </bottom>
      </border>
    </dxf>
    <dxf>
      <font>
        <color theme="1"/>
      </font>
      <fill>
        <patternFill patternType="solid">
          <fgColor theme="4" tint="0.79998168889431442"/>
          <bgColor theme="4" tint="0.79998168889431442"/>
        </patternFill>
      </fill>
      <border>
        <vertical style="thin">
          <color theme="0"/>
        </vertical>
        <horizontal style="thin">
          <color theme="0"/>
        </horizontal>
      </border>
    </dxf>
  </dxfs>
  <tableStyles count="5" defaultTableStyle="TableStyleMedium9" defaultPivotStyle="PivotStyleMedium4">
    <tableStyle name="FishBizTableStyleMedium9 2" pivot="0" count="7">
      <tableStyleElement type="wholeTable" dxfId="304"/>
      <tableStyleElement type="headerRow" dxfId="303"/>
      <tableStyleElement type="totalRow" dxfId="302"/>
      <tableStyleElement type="firstColumn" dxfId="301"/>
      <tableStyleElement type="lastColumn" dxfId="300"/>
      <tableStyleElement type="firstRowStripe" dxfId="299"/>
      <tableStyleElement type="firstColumnStripe" dxfId="298"/>
    </tableStyle>
    <tableStyle name="TableStyleMedium9 2" pivot="0" count="8">
      <tableStyleElement type="wholeTable" dxfId="297"/>
      <tableStyleElement type="headerRow" dxfId="296"/>
      <tableStyleElement type="totalRow" dxfId="295"/>
      <tableStyleElement type="firstColumn" dxfId="294"/>
      <tableStyleElement type="lastColumn" dxfId="293"/>
      <tableStyleElement type="firstRowStripe" dxfId="292"/>
      <tableStyleElement type="secondRowStripe" dxfId="291"/>
      <tableStyleElement type="firstColumnStripe" dxfId="290"/>
    </tableStyle>
    <tableStyle name="TableStyleMedium9 2 2" pivot="0" count="8">
      <tableStyleElement type="wholeTable" dxfId="289"/>
      <tableStyleElement type="headerRow" dxfId="288"/>
      <tableStyleElement type="totalRow" dxfId="287"/>
      <tableStyleElement type="firstColumn" dxfId="286"/>
      <tableStyleElement type="lastColumn" dxfId="285"/>
      <tableStyleElement type="firstRowStripe" dxfId="284"/>
      <tableStyleElement type="secondRowStripe" dxfId="283"/>
      <tableStyleElement type="firstColumnStripe" dxfId="282"/>
    </tableStyle>
    <tableStyle name="TableStyleMedium9 2 2 2" pivot="0" count="8">
      <tableStyleElement type="wholeTable" dxfId="281"/>
      <tableStyleElement type="headerRow" dxfId="280"/>
      <tableStyleElement type="totalRow" dxfId="279"/>
      <tableStyleElement type="firstColumn" dxfId="278"/>
      <tableStyleElement type="lastColumn" dxfId="277"/>
      <tableStyleElement type="firstRowStripe" dxfId="276"/>
      <tableStyleElement type="secondRowStripe" dxfId="275"/>
      <tableStyleElement type="firstColumnStripe" dxfId="274"/>
    </tableStyle>
    <tableStyle name="TableStyleMedium9 2 2 3" pivot="0" count="8">
      <tableStyleElement type="wholeTable" dxfId="273"/>
      <tableStyleElement type="headerRow" dxfId="272"/>
      <tableStyleElement type="totalRow" dxfId="271"/>
      <tableStyleElement type="firstColumn" dxfId="270"/>
      <tableStyleElement type="lastColumn" dxfId="269"/>
      <tableStyleElement type="firstRowStripe" dxfId="268"/>
      <tableStyleElement type="secondRowStripe" dxfId="267"/>
      <tableStyleElement type="firstColumnStripe" dxfId="266"/>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37321"/>
      <color rgb="FFE1DFDB"/>
      <color rgb="FFF0EFED"/>
      <color rgb="FFE7F7F9"/>
      <color rgb="FF96DAE2"/>
      <color rgb="FFFEBF24"/>
      <color rgb="FF5ADABD"/>
      <color rgb="FF5ADAE2"/>
      <color rgb="FF00B1B0"/>
      <color rgb="FF00C4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owerPivotData" Target="model/item.data"/></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'P&amp;L-Annual Cash Flow'!$B$17:$D$17</c:f>
          <c:strCache>
            <c:ptCount val="3"/>
            <c:pt idx="0">
              <c:v>FISHING INCOME &amp; COSTS</c:v>
            </c:pt>
          </c:strCache>
        </c:strRef>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'P&amp;L-Annual Cash Flow'!$Q$3</c:f>
              <c:strCache>
                <c:ptCount val="1"/>
                <c:pt idx="0">
                  <c:v>Fishing Income</c:v>
                </c:pt>
              </c:strCache>
            </c:strRef>
          </c:tx>
          <c:spPr>
            <a:solidFill>
              <a:schemeClr val="accent1"/>
            </a:solidFill>
            <a:ln>
              <a:noFill/>
            </a:ln>
            <a:effectLst/>
          </c:spPr>
          <c:invertIfNegative val="0"/>
          <c:cat>
            <c:strRef>
              <c:f>'P&amp;L-Annual Cash Flow'!$Q$1:$R$1</c:f>
              <c:strCache>
                <c:ptCount val="2"/>
                <c:pt idx="0">
                  <c:v>2015</c:v>
                </c:pt>
                <c:pt idx="1">
                  <c:v>2016 Proj.</c:v>
                </c:pt>
              </c:strCache>
            </c:strRef>
          </c:cat>
          <c:val>
            <c:numRef>
              <c:f>'P&amp;L-Annual Cash Flow'!$C$25:$D$25</c:f>
              <c:numCache>
                <c:formatCode>"$"#,##0</c:formatCode>
                <c:ptCount val="2"/>
                <c:pt idx="0">
                  <c:v>0</c:v>
                </c:pt>
                <c:pt idx="1">
                  <c:v>0</c:v>
                </c:pt>
              </c:numCache>
            </c:numRef>
          </c:val>
        </c:ser>
        <c:ser>
          <c:idx val="1"/>
          <c:order val="1"/>
          <c:tx>
            <c:strRef>
              <c:f>'P&amp;L-Annual Cash Flow'!$R$3</c:f>
              <c:strCache>
                <c:ptCount val="1"/>
                <c:pt idx="0">
                  <c:v>Variable Fishing Costs</c:v>
                </c:pt>
              </c:strCache>
            </c:strRef>
          </c:tx>
          <c:spPr>
            <a:solidFill>
              <a:schemeClr val="accent2"/>
            </a:solidFill>
            <a:ln>
              <a:noFill/>
            </a:ln>
            <a:effectLst/>
          </c:spPr>
          <c:invertIfNegative val="0"/>
          <c:cat>
            <c:strRef>
              <c:f>'P&amp;L-Annual Cash Flow'!$Q$1:$R$1</c:f>
              <c:strCache>
                <c:ptCount val="2"/>
                <c:pt idx="0">
                  <c:v>2015</c:v>
                </c:pt>
                <c:pt idx="1">
                  <c:v>2016 Proj.</c:v>
                </c:pt>
              </c:strCache>
            </c:strRef>
          </c:cat>
          <c:val>
            <c:numRef>
              <c:f>'P&amp;L-Annual Cash Flow'!$C$38:$D$38</c:f>
              <c:numCache>
                <c:formatCode>"$"#,##0</c:formatCode>
                <c:ptCount val="2"/>
                <c:pt idx="0">
                  <c:v>0</c:v>
                </c:pt>
                <c:pt idx="1">
                  <c:v>0</c:v>
                </c:pt>
              </c:numCache>
            </c:numRef>
          </c:val>
        </c:ser>
        <c:ser>
          <c:idx val="2"/>
          <c:order val="2"/>
          <c:tx>
            <c:strRef>
              <c:f>'P&amp;L-Annual Cash Flow'!$S$3</c:f>
              <c:strCache>
                <c:ptCount val="1"/>
                <c:pt idx="0">
                  <c:v>Fixed Fishing Costs</c:v>
                </c:pt>
              </c:strCache>
            </c:strRef>
          </c:tx>
          <c:spPr>
            <a:solidFill>
              <a:schemeClr val="accent3"/>
            </a:solidFill>
            <a:ln>
              <a:noFill/>
            </a:ln>
            <a:effectLst/>
          </c:spPr>
          <c:invertIfNegative val="0"/>
          <c:cat>
            <c:strRef>
              <c:f>'P&amp;L-Annual Cash Flow'!$Q$1:$R$1</c:f>
              <c:strCache>
                <c:ptCount val="2"/>
                <c:pt idx="0">
                  <c:v>2015</c:v>
                </c:pt>
                <c:pt idx="1">
                  <c:v>2016 Proj.</c:v>
                </c:pt>
              </c:strCache>
            </c:strRef>
          </c:cat>
          <c:val>
            <c:numRef>
              <c:f>'P&amp;L-Annual Cash Flow'!$C$51:$D$51</c:f>
              <c:numCache>
                <c:formatCode>"$"#,##0</c:formatCode>
                <c:ptCount val="2"/>
                <c:pt idx="0">
                  <c:v>0</c:v>
                </c:pt>
                <c:pt idx="1">
                  <c:v>0</c:v>
                </c:pt>
              </c:numCache>
            </c:numRef>
          </c:val>
        </c:ser>
        <c:dLbls>
          <c:showLegendKey val="0"/>
          <c:showVal val="0"/>
          <c:showCatName val="0"/>
          <c:showSerName val="0"/>
          <c:showPercent val="0"/>
          <c:showBubbleSize val="0"/>
        </c:dLbls>
        <c:gapWidth val="219"/>
        <c:overlap val="-27"/>
        <c:axId val="654530000"/>
        <c:axId val="654530392"/>
      </c:barChart>
      <c:catAx>
        <c:axId val="6545300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54530392"/>
        <c:crosses val="autoZero"/>
        <c:auto val="1"/>
        <c:lblAlgn val="ctr"/>
        <c:lblOffset val="100"/>
        <c:noMultiLvlLbl val="0"/>
      </c:catAx>
      <c:valAx>
        <c:axId val="654530392"/>
        <c:scaling>
          <c:orientation val="minMax"/>
        </c:scaling>
        <c:delete val="0"/>
        <c:axPos val="l"/>
        <c:majorGridlines>
          <c:spPr>
            <a:ln w="9525" cap="flat" cmpd="sng" algn="ctr">
              <a:solidFill>
                <a:schemeClr val="tx1">
                  <a:lumMod val="15000"/>
                  <a:lumOff val="85000"/>
                </a:schemeClr>
              </a:solidFill>
              <a:round/>
            </a:ln>
            <a:effectLst/>
          </c:spPr>
        </c:majorGridlines>
        <c:numFmt formatCode="_(&quot;$&quot;* #,##0_);_(&quot;$&quot;* \(#,##0\);_(&quot;$&quot;* &quot;-&quot;_);_(@_)"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5453000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'P&amp;L-Annual Cash Flow'!$M$45</c:f>
          <c:strCache>
            <c:ptCount val="1"/>
            <c:pt idx="0">
              <c:v>Variable Fishing Costs - 2015</c:v>
            </c:pt>
          </c:strCache>
        </c:strRef>
      </c:tx>
      <c:layout>
        <c:manualLayout>
          <c:xMode val="edge"/>
          <c:yMode val="edge"/>
          <c:x val="2.3353074543374177E-2"/>
          <c:y val="4.1666666666666664E-2"/>
        </c:manualLayout>
      </c:layout>
      <c:overlay val="0"/>
      <c:spPr>
        <a:noFill/>
        <a:ln>
          <a:noFill/>
        </a:ln>
        <a:effectLst/>
      </c:spPr>
      <c:txPr>
        <a:bodyPr rot="0" spcFirstLastPara="1" vertOverflow="ellipsis" vert="horz" wrap="square" anchor="ctr" anchorCtr="1"/>
        <a:lstStyle/>
        <a:p>
          <a:pPr>
            <a:defRPr sz="1600" b="1" i="0" u="none" strike="noStrike" kern="1200" cap="all"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a:noFill/>
              </a:ln>
              <a:effectLst>
                <a:outerShdw blurRad="63500" sx="102000" sy="102000" algn="ctr" rotWithShape="0">
                  <a:prstClr val="black">
                    <a:alpha val="20000"/>
                  </a:prstClr>
                </a:outerShdw>
              </a:effectLst>
            </c:spPr>
          </c:dPt>
          <c:dPt>
            <c:idx val="1"/>
            <c:bubble3D val="0"/>
            <c:spPr>
              <a:solidFill>
                <a:schemeClr val="accent2"/>
              </a:solidFill>
              <a:ln>
                <a:noFill/>
              </a:ln>
              <a:effectLst>
                <a:outerShdw blurRad="63500" sx="102000" sy="102000" algn="ctr" rotWithShape="0">
                  <a:prstClr val="black">
                    <a:alpha val="20000"/>
                  </a:prstClr>
                </a:outerShdw>
              </a:effectLst>
            </c:spPr>
          </c:dPt>
          <c:dPt>
            <c:idx val="2"/>
            <c:bubble3D val="0"/>
            <c:spPr>
              <a:solidFill>
                <a:schemeClr val="accent3"/>
              </a:solidFill>
              <a:ln>
                <a:noFill/>
              </a:ln>
              <a:effectLst>
                <a:outerShdw blurRad="63500" sx="102000" sy="102000" algn="ctr" rotWithShape="0">
                  <a:prstClr val="black">
                    <a:alpha val="20000"/>
                  </a:prstClr>
                </a:outerShdw>
              </a:effectLst>
            </c:spPr>
          </c:dPt>
          <c:dPt>
            <c:idx val="3"/>
            <c:bubble3D val="0"/>
            <c:spPr>
              <a:solidFill>
                <a:schemeClr val="accent4"/>
              </a:solidFill>
              <a:ln>
                <a:noFill/>
              </a:ln>
              <a:effectLst>
                <a:outerShdw blurRad="63500" sx="102000" sy="102000" algn="ctr" rotWithShape="0">
                  <a:prstClr val="black">
                    <a:alpha val="20000"/>
                  </a:prstClr>
                </a:outerShdw>
              </a:effectLst>
            </c:spPr>
          </c:dPt>
          <c:dPt>
            <c:idx val="4"/>
            <c:bubble3D val="0"/>
            <c:spPr>
              <a:solidFill>
                <a:schemeClr val="accent5"/>
              </a:solidFill>
              <a:ln>
                <a:noFill/>
              </a:ln>
              <a:effectLst>
                <a:outerShdw blurRad="63500" sx="102000" sy="102000" algn="ctr" rotWithShape="0">
                  <a:prstClr val="black">
                    <a:alpha val="20000"/>
                  </a:prstClr>
                </a:outerShdw>
              </a:effectLst>
            </c:spPr>
          </c:dPt>
          <c:dPt>
            <c:idx val="5"/>
            <c:bubble3D val="0"/>
            <c:spPr>
              <a:solidFill>
                <a:schemeClr val="accent6"/>
              </a:solidFill>
              <a:ln>
                <a:noFill/>
              </a:ln>
              <a:effectLst>
                <a:outerShdw blurRad="63500" sx="102000" sy="102000" algn="ctr" rotWithShape="0">
                  <a:prstClr val="black">
                    <a:alpha val="20000"/>
                  </a:prstClr>
                </a:outerShdw>
              </a:effectLst>
            </c:spPr>
          </c:dPt>
          <c:dPt>
            <c:idx val="6"/>
            <c:bubble3D val="0"/>
            <c:spPr>
              <a:solidFill>
                <a:schemeClr val="accent1">
                  <a:lumMod val="60000"/>
                </a:schemeClr>
              </a:solidFill>
              <a:ln>
                <a:noFill/>
              </a:ln>
              <a:effectLst>
                <a:outerShdw blurRad="63500" sx="102000" sy="102000" algn="ctr" rotWithShape="0">
                  <a:prstClr val="black">
                    <a:alpha val="20000"/>
                  </a:prstClr>
                </a:outerShdw>
              </a:effectLst>
            </c:spPr>
          </c:dPt>
          <c:dPt>
            <c:idx val="7"/>
            <c:bubble3D val="0"/>
            <c:spPr>
              <a:solidFill>
                <a:schemeClr val="accent2">
                  <a:lumMod val="60000"/>
                </a:schemeClr>
              </a:solidFill>
              <a:ln>
                <a:noFill/>
              </a:ln>
              <a:effectLst>
                <a:outerShdw blurRad="63500" sx="102000" sy="102000" algn="ctr" rotWithShape="0">
                  <a:prstClr val="black">
                    <a:alpha val="20000"/>
                  </a:prstClr>
                </a:outerShdw>
              </a:effectLst>
            </c:spPr>
          </c:dPt>
          <c:dPt>
            <c:idx val="8"/>
            <c:bubble3D val="0"/>
            <c:spPr>
              <a:solidFill>
                <a:schemeClr val="accent3">
                  <a:lumMod val="60000"/>
                </a:schemeClr>
              </a:solidFill>
              <a:ln>
                <a:noFill/>
              </a:ln>
              <a:effectLst>
                <a:outerShdw blurRad="63500" sx="102000" sy="102000" algn="ctr" rotWithShape="0">
                  <a:prstClr val="black">
                    <a:alpha val="20000"/>
                  </a:prstClr>
                </a:outerShdw>
              </a:effectLst>
            </c:spPr>
          </c:dPt>
          <c:dPt>
            <c:idx val="9"/>
            <c:bubble3D val="0"/>
            <c:spPr>
              <a:solidFill>
                <a:schemeClr val="accent4">
                  <a:lumMod val="60000"/>
                </a:schemeClr>
              </a:solidFill>
              <a:ln>
                <a:noFill/>
              </a:ln>
              <a:effectLst>
                <a:outerShdw blurRad="63500" sx="102000" sy="102000" algn="ctr" rotWithShape="0">
                  <a:prstClr val="black">
                    <a:alpha val="20000"/>
                  </a:prstClr>
                </a:outerShdw>
              </a:effectLst>
            </c:spPr>
          </c:dPt>
          <c:dLbls>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dLbl>
              <c:idx val="1"/>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dLbl>
              <c:idx val="2"/>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dLbl>
              <c:idx val="3"/>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dLbl>
              <c:idx val="4"/>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dLbl>
              <c:idx val="5"/>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dLbl>
              <c:idx val="6"/>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dLbl>
              <c:idx val="7"/>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dLbl>
              <c:idx val="8"/>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dLbl>
              <c:idx val="9"/>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'P&amp;L-Annual Cash Flow'!$B$28:$B$37</c:f>
              <c:strCache>
                <c:ptCount val="10"/>
                <c:pt idx="0">
                  <c:v>Crew Shares Paid</c:v>
                </c:pt>
                <c:pt idx="1">
                  <c:v>Crew Insurance</c:v>
                </c:pt>
                <c:pt idx="2">
                  <c:v>Provisions</c:v>
                </c:pt>
                <c:pt idx="3">
                  <c:v>Fuel, Lubricants, etc</c:v>
                </c:pt>
                <c:pt idx="4">
                  <c:v>Gear</c:v>
                </c:pt>
                <c:pt idx="5">
                  <c:v>Repairs &amp; Maintenance</c:v>
                </c:pt>
                <c:pt idx="6">
                  <c:v>Bait &amp; Ice</c:v>
                </c:pt>
                <c:pt idx="7">
                  <c:v>Misc. Operating Costs</c:v>
                </c:pt>
                <c:pt idx="8">
                  <c:v>Taxes, Fees &amp; Assessments                                  </c:v>
                </c:pt>
                <c:pt idx="9">
                  <c:v>Other</c:v>
                </c:pt>
              </c:strCache>
            </c:strRef>
          </c:cat>
          <c:val>
            <c:numRef>
              <c:f>'P&amp;L-Annual Cash Flow'!$C$28:$C$37</c:f>
              <c:numCache>
                <c:formatCode>"$"#,##0</c:formatCode>
                <c:ptCount val="10"/>
              </c:numCache>
            </c:numRef>
          </c:val>
        </c:ser>
        <c:dLbls>
          <c:dLblPos val="outEnd"/>
          <c:showLegendKey val="0"/>
          <c:showVal val="0"/>
          <c:showCatName val="1"/>
          <c:showSerName val="0"/>
          <c:showPercent val="0"/>
          <c:showBubbleSize val="0"/>
          <c:showLeaderLines val="1"/>
        </c:dLbls>
        <c:firstSliceAng val="117"/>
      </c:pie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'P&amp;L-Annual Cash Flow'!$B$77:$D$77</c:f>
          <c:strCache>
            <c:ptCount val="3"/>
            <c:pt idx="0">
              <c:v>DIRECT MARKETING INCOME &amp; COSTS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'P&amp;L-Annual Cash Flow'!$Q$5</c:f>
              <c:strCache>
                <c:ptCount val="1"/>
                <c:pt idx="0">
                  <c:v>Direct Mkt Income</c:v>
                </c:pt>
              </c:strCache>
            </c:strRef>
          </c:tx>
          <c:spPr>
            <a:solidFill>
              <a:schemeClr val="accent1"/>
            </a:solidFill>
            <a:ln>
              <a:noFill/>
            </a:ln>
            <a:effectLst/>
          </c:spPr>
          <c:invertIfNegative val="0"/>
          <c:cat>
            <c:strRef>
              <c:f>'P&amp;L-Annual Cash Flow'!$Q$1:$R$1</c:f>
              <c:strCache>
                <c:ptCount val="2"/>
                <c:pt idx="0">
                  <c:v>2015</c:v>
                </c:pt>
                <c:pt idx="1">
                  <c:v>2016 Proj.</c:v>
                </c:pt>
              </c:strCache>
            </c:strRef>
          </c:cat>
          <c:val>
            <c:numRef>
              <c:f>'P&amp;L-Annual Cash Flow'!$E$83:$F$83</c:f>
              <c:numCache>
                <c:formatCode>General</c:formatCode>
                <c:ptCount val="2"/>
                <c:pt idx="0">
                  <c:v>0</c:v>
                </c:pt>
                <c:pt idx="1">
                  <c:v>0</c:v>
                </c:pt>
              </c:numCache>
            </c:numRef>
          </c:val>
        </c:ser>
        <c:ser>
          <c:idx val="1"/>
          <c:order val="1"/>
          <c:tx>
            <c:strRef>
              <c:f>'P&amp;L-Annual Cash Flow'!$R$5</c:f>
              <c:strCache>
                <c:ptCount val="1"/>
                <c:pt idx="0">
                  <c:v>Variable Direct Mkt Costs</c:v>
                </c:pt>
              </c:strCache>
            </c:strRef>
          </c:tx>
          <c:spPr>
            <a:solidFill>
              <a:schemeClr val="accent2"/>
            </a:solidFill>
            <a:ln>
              <a:noFill/>
            </a:ln>
            <a:effectLst/>
          </c:spPr>
          <c:invertIfNegative val="0"/>
          <c:cat>
            <c:strRef>
              <c:f>'P&amp;L-Annual Cash Flow'!$Q$1:$R$1</c:f>
              <c:strCache>
                <c:ptCount val="2"/>
                <c:pt idx="0">
                  <c:v>2015</c:v>
                </c:pt>
                <c:pt idx="1">
                  <c:v>2016 Proj.</c:v>
                </c:pt>
              </c:strCache>
            </c:strRef>
          </c:cat>
          <c:val>
            <c:numRef>
              <c:f>'P&amp;L-Annual Cash Flow'!$E$96:$F$96</c:f>
              <c:numCache>
                <c:formatCode>General</c:formatCode>
                <c:ptCount val="2"/>
                <c:pt idx="0">
                  <c:v>0</c:v>
                </c:pt>
                <c:pt idx="1">
                  <c:v>0</c:v>
                </c:pt>
              </c:numCache>
            </c:numRef>
          </c:val>
        </c:ser>
        <c:ser>
          <c:idx val="2"/>
          <c:order val="2"/>
          <c:tx>
            <c:strRef>
              <c:f>'P&amp;L-Annual Cash Flow'!$S$5</c:f>
              <c:strCache>
                <c:ptCount val="1"/>
                <c:pt idx="0">
                  <c:v>Fixed Direct Mkt Costs</c:v>
                </c:pt>
              </c:strCache>
            </c:strRef>
          </c:tx>
          <c:spPr>
            <a:solidFill>
              <a:schemeClr val="accent3"/>
            </a:solidFill>
            <a:ln>
              <a:noFill/>
            </a:ln>
            <a:effectLst/>
          </c:spPr>
          <c:invertIfNegative val="0"/>
          <c:cat>
            <c:strRef>
              <c:f>'P&amp;L-Annual Cash Flow'!$Q$1:$R$1</c:f>
              <c:strCache>
                <c:ptCount val="2"/>
                <c:pt idx="0">
                  <c:v>2015</c:v>
                </c:pt>
                <c:pt idx="1">
                  <c:v>2016 Proj.</c:v>
                </c:pt>
              </c:strCache>
            </c:strRef>
          </c:cat>
          <c:val>
            <c:numRef>
              <c:f>'P&amp;L-Annual Cash Flow'!$E$107:$F$107</c:f>
              <c:numCache>
                <c:formatCode>General</c:formatCode>
                <c:ptCount val="2"/>
                <c:pt idx="0">
                  <c:v>0</c:v>
                </c:pt>
                <c:pt idx="1">
                  <c:v>0</c:v>
                </c:pt>
              </c:numCache>
            </c:numRef>
          </c:val>
        </c:ser>
        <c:dLbls>
          <c:showLegendKey val="0"/>
          <c:showVal val="0"/>
          <c:showCatName val="0"/>
          <c:showSerName val="0"/>
          <c:showPercent val="0"/>
          <c:showBubbleSize val="0"/>
        </c:dLbls>
        <c:gapWidth val="219"/>
        <c:overlap val="-27"/>
        <c:axId val="698377696"/>
        <c:axId val="698378088"/>
      </c:barChart>
      <c:catAx>
        <c:axId val="6983776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8378088"/>
        <c:crosses val="autoZero"/>
        <c:auto val="1"/>
        <c:lblAlgn val="ctr"/>
        <c:lblOffset val="100"/>
        <c:noMultiLvlLbl val="0"/>
      </c:catAx>
      <c:valAx>
        <c:axId val="698378088"/>
        <c:scaling>
          <c:orientation val="minMax"/>
        </c:scaling>
        <c:delete val="0"/>
        <c:axPos val="l"/>
        <c:majorGridlines>
          <c:spPr>
            <a:ln w="9525" cap="flat" cmpd="sng" algn="ctr">
              <a:solidFill>
                <a:schemeClr val="tx1">
                  <a:lumMod val="15000"/>
                  <a:lumOff val="85000"/>
                </a:schemeClr>
              </a:solidFill>
              <a:round/>
            </a:ln>
            <a:effectLst/>
          </c:spPr>
        </c:majorGridlines>
        <c:numFmt formatCode="_(&quot;$&quot;* #,##0_);_(&quot;$&quot;* \(#,##0\);_(&quot;$&quot;* &quot;-&quot;_);_(@_)"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83776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'P&amp;L-Annual Cash Flow'!$M$71</c:f>
          <c:strCache>
            <c:ptCount val="1"/>
            <c:pt idx="0">
              <c:v>Variable Direct Marketing Costs - 2015</c:v>
            </c:pt>
          </c:strCache>
        </c:strRef>
      </c:tx>
      <c:layout>
        <c:manualLayout>
          <c:xMode val="edge"/>
          <c:yMode val="edge"/>
          <c:x val="2.3353074543374177E-2"/>
          <c:y val="4.1666666666666664E-2"/>
        </c:manualLayout>
      </c:layout>
      <c:overlay val="0"/>
      <c:spPr>
        <a:noFill/>
        <a:ln>
          <a:noFill/>
        </a:ln>
        <a:effectLst/>
      </c:spPr>
      <c:txPr>
        <a:bodyPr rot="0" spcFirstLastPara="1" vertOverflow="ellipsis" vert="horz" wrap="square" anchor="ctr" anchorCtr="1"/>
        <a:lstStyle/>
        <a:p>
          <a:pPr>
            <a:defRPr sz="1600" b="1" i="0" u="none" strike="noStrike" kern="1200" cap="all"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a:noFill/>
              </a:ln>
              <a:effectLst>
                <a:outerShdw blurRad="63500" sx="102000" sy="102000" algn="ctr" rotWithShape="0">
                  <a:prstClr val="black">
                    <a:alpha val="20000"/>
                  </a:prstClr>
                </a:outerShdw>
              </a:effectLst>
            </c:spPr>
          </c:dPt>
          <c:dPt>
            <c:idx val="1"/>
            <c:bubble3D val="0"/>
            <c:spPr>
              <a:solidFill>
                <a:schemeClr val="accent2"/>
              </a:solidFill>
              <a:ln>
                <a:noFill/>
              </a:ln>
              <a:effectLst>
                <a:outerShdw blurRad="63500" sx="102000" sy="102000" algn="ctr" rotWithShape="0">
                  <a:prstClr val="black">
                    <a:alpha val="20000"/>
                  </a:prstClr>
                </a:outerShdw>
              </a:effectLst>
            </c:spPr>
          </c:dPt>
          <c:dPt>
            <c:idx val="2"/>
            <c:bubble3D val="0"/>
            <c:spPr>
              <a:solidFill>
                <a:schemeClr val="accent3"/>
              </a:solidFill>
              <a:ln>
                <a:noFill/>
              </a:ln>
              <a:effectLst>
                <a:outerShdw blurRad="63500" sx="102000" sy="102000" algn="ctr" rotWithShape="0">
                  <a:prstClr val="black">
                    <a:alpha val="20000"/>
                  </a:prstClr>
                </a:outerShdw>
              </a:effectLst>
            </c:spPr>
          </c:dPt>
          <c:dPt>
            <c:idx val="3"/>
            <c:bubble3D val="0"/>
            <c:spPr>
              <a:solidFill>
                <a:schemeClr val="accent4"/>
              </a:solidFill>
              <a:ln>
                <a:noFill/>
              </a:ln>
              <a:effectLst>
                <a:outerShdw blurRad="63500" sx="102000" sy="102000" algn="ctr" rotWithShape="0">
                  <a:prstClr val="black">
                    <a:alpha val="20000"/>
                  </a:prstClr>
                </a:outerShdw>
              </a:effectLst>
            </c:spPr>
          </c:dPt>
          <c:dPt>
            <c:idx val="4"/>
            <c:bubble3D val="0"/>
            <c:spPr>
              <a:solidFill>
                <a:schemeClr val="accent5"/>
              </a:solidFill>
              <a:ln>
                <a:noFill/>
              </a:ln>
              <a:effectLst>
                <a:outerShdw blurRad="63500" sx="102000" sy="102000" algn="ctr" rotWithShape="0">
                  <a:prstClr val="black">
                    <a:alpha val="20000"/>
                  </a:prstClr>
                </a:outerShdw>
              </a:effectLst>
            </c:spPr>
          </c:dPt>
          <c:dPt>
            <c:idx val="5"/>
            <c:bubble3D val="0"/>
            <c:spPr>
              <a:solidFill>
                <a:schemeClr val="accent6"/>
              </a:solidFill>
              <a:ln>
                <a:noFill/>
              </a:ln>
              <a:effectLst>
                <a:outerShdw blurRad="63500" sx="102000" sy="102000" algn="ctr" rotWithShape="0">
                  <a:prstClr val="black">
                    <a:alpha val="20000"/>
                  </a:prstClr>
                </a:outerShdw>
              </a:effectLst>
            </c:spPr>
          </c:dPt>
          <c:dPt>
            <c:idx val="6"/>
            <c:bubble3D val="0"/>
            <c:spPr>
              <a:solidFill>
                <a:schemeClr val="accent1">
                  <a:lumMod val="60000"/>
                </a:schemeClr>
              </a:solidFill>
              <a:ln>
                <a:noFill/>
              </a:ln>
              <a:effectLst>
                <a:outerShdw blurRad="63500" sx="102000" sy="102000" algn="ctr" rotWithShape="0">
                  <a:prstClr val="black">
                    <a:alpha val="20000"/>
                  </a:prstClr>
                </a:outerShdw>
              </a:effectLst>
            </c:spPr>
          </c:dPt>
          <c:dPt>
            <c:idx val="7"/>
            <c:bubble3D val="0"/>
            <c:spPr>
              <a:solidFill>
                <a:schemeClr val="accent2">
                  <a:lumMod val="60000"/>
                </a:schemeClr>
              </a:solidFill>
              <a:ln>
                <a:noFill/>
              </a:ln>
              <a:effectLst>
                <a:outerShdw blurRad="63500" sx="102000" sy="102000" algn="ctr" rotWithShape="0">
                  <a:prstClr val="black">
                    <a:alpha val="20000"/>
                  </a:prstClr>
                </a:outerShdw>
              </a:effectLst>
            </c:spPr>
          </c:dPt>
          <c:dPt>
            <c:idx val="8"/>
            <c:bubble3D val="0"/>
            <c:spPr>
              <a:solidFill>
                <a:schemeClr val="accent3">
                  <a:lumMod val="60000"/>
                </a:schemeClr>
              </a:solidFill>
              <a:ln>
                <a:noFill/>
              </a:ln>
              <a:effectLst>
                <a:outerShdw blurRad="63500" sx="102000" sy="102000" algn="ctr" rotWithShape="0">
                  <a:prstClr val="black">
                    <a:alpha val="20000"/>
                  </a:prstClr>
                </a:outerShdw>
              </a:effectLst>
            </c:spPr>
          </c:dPt>
          <c:dPt>
            <c:idx val="9"/>
            <c:bubble3D val="0"/>
            <c:spPr>
              <a:solidFill>
                <a:schemeClr val="accent4">
                  <a:lumMod val="60000"/>
                </a:schemeClr>
              </a:solidFill>
              <a:ln>
                <a:noFill/>
              </a:ln>
              <a:effectLst>
                <a:outerShdw blurRad="63500" sx="102000" sy="102000" algn="ctr" rotWithShape="0">
                  <a:prstClr val="black">
                    <a:alpha val="20000"/>
                  </a:prstClr>
                </a:outerShdw>
              </a:effectLst>
            </c:spPr>
          </c:dPt>
          <c:dLbls>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dLbl>
              <c:idx val="1"/>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dLbl>
              <c:idx val="2"/>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dLbl>
              <c:idx val="3"/>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dLbl>
              <c:idx val="4"/>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dLbl>
              <c:idx val="5"/>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dLbl>
              <c:idx val="6"/>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dLbl>
              <c:idx val="7"/>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dLbl>
              <c:idx val="8"/>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dLbl>
              <c:idx val="9"/>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dLbl>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tx1"/>
                    </a:solidFill>
                    <a:latin typeface="+mn-lt"/>
                    <a:ea typeface="+mn-ea"/>
                    <a:cs typeface="+mn-cs"/>
                  </a:defRPr>
                </a:pPr>
                <a:endParaRPr lang="en-US"/>
              </a:p>
            </c:txPr>
            <c:dLblPos val="bestFit"/>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'P&amp;L-Annual Cash Flow'!$B$86:$B$95</c:f>
              <c:strCache>
                <c:ptCount val="10"/>
                <c:pt idx="0">
                  <c:v>Labor</c:v>
                </c:pt>
                <c:pt idx="1">
                  <c:v>Insurance</c:v>
                </c:pt>
                <c:pt idx="2">
                  <c:v>Packaging</c:v>
                </c:pt>
                <c:pt idx="3">
                  <c:v>Processing Supplies</c:v>
                </c:pt>
                <c:pt idx="4">
                  <c:v>Shipping</c:v>
                </c:pt>
                <c:pt idx="5">
                  <c:v>Utilities</c:v>
                </c:pt>
                <c:pt idx="6">
                  <c:v>Cold Storage Fees</c:v>
                </c:pt>
                <c:pt idx="7">
                  <c:v>Purchased Finished Product</c:v>
                </c:pt>
                <c:pt idx="8">
                  <c:v>Misc Direct Mkt Variable Costs</c:v>
                </c:pt>
                <c:pt idx="9">
                  <c:v>Other Direct Mkt Variable Costs</c:v>
                </c:pt>
              </c:strCache>
            </c:strRef>
          </c:cat>
          <c:val>
            <c:numRef>
              <c:f>'P&amp;L-Annual Cash Flow'!$E$86:$E$95</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ser>
        <c:dLbls>
          <c:dLblPos val="outEnd"/>
          <c:showLegendKey val="0"/>
          <c:showVal val="0"/>
          <c:showCatName val="1"/>
          <c:showSerName val="0"/>
          <c:showPercent val="0"/>
          <c:showBubbleSize val="0"/>
          <c:showLeaderLines val="1"/>
        </c:dLbls>
        <c:firstSliceAng val="117"/>
      </c:pie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Business Net Income</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'P&amp;L-Annual Cash Flow'!$Q$2</c:f>
              <c:strCache>
                <c:ptCount val="1"/>
                <c:pt idx="0">
                  <c:v>Fishing Net Income</c:v>
                </c:pt>
              </c:strCache>
            </c:strRef>
          </c:tx>
          <c:spPr>
            <a:solidFill>
              <a:schemeClr val="accent1"/>
            </a:solidFill>
            <a:ln>
              <a:noFill/>
            </a:ln>
            <a:effectLst/>
          </c:spPr>
          <c:invertIfNegative val="0"/>
          <c:cat>
            <c:strRef>
              <c:f>'P&amp;L-Annual Cash Flow'!$Q$1:$R$1</c:f>
              <c:strCache>
                <c:ptCount val="2"/>
                <c:pt idx="0">
                  <c:v>2015</c:v>
                </c:pt>
                <c:pt idx="1">
                  <c:v>2016 Proj.</c:v>
                </c:pt>
              </c:strCache>
            </c:strRef>
          </c:cat>
          <c:val>
            <c:numRef>
              <c:f>'P&amp;L-Annual Cash Flow'!$E$55:$F$55</c:f>
              <c:numCache>
                <c:formatCode>General</c:formatCode>
                <c:ptCount val="2"/>
                <c:pt idx="0">
                  <c:v>0</c:v>
                </c:pt>
                <c:pt idx="1">
                  <c:v>0</c:v>
                </c:pt>
              </c:numCache>
            </c:numRef>
          </c:val>
        </c:ser>
        <c:ser>
          <c:idx val="1"/>
          <c:order val="1"/>
          <c:tx>
            <c:strRef>
              <c:f>'P&amp;L-Annual Cash Flow'!$S$2</c:f>
              <c:strCache>
                <c:ptCount val="1"/>
                <c:pt idx="0">
                  <c:v>Direct Marketing Net Income</c:v>
                </c:pt>
              </c:strCache>
            </c:strRef>
          </c:tx>
          <c:spPr>
            <a:solidFill>
              <a:schemeClr val="accent2"/>
            </a:solidFill>
            <a:ln>
              <a:noFill/>
            </a:ln>
            <a:effectLst/>
          </c:spPr>
          <c:invertIfNegative val="0"/>
          <c:cat>
            <c:strRef>
              <c:f>'P&amp;L-Annual Cash Flow'!$Q$1:$R$1</c:f>
              <c:strCache>
                <c:ptCount val="2"/>
                <c:pt idx="0">
                  <c:v>2015</c:v>
                </c:pt>
                <c:pt idx="1">
                  <c:v>2016 Proj.</c:v>
                </c:pt>
              </c:strCache>
            </c:strRef>
          </c:cat>
          <c:val>
            <c:numRef>
              <c:f>'P&amp;L-Annual Cash Flow'!$E$111:$F$111</c:f>
              <c:numCache>
                <c:formatCode>General</c:formatCode>
                <c:ptCount val="2"/>
                <c:pt idx="0">
                  <c:v>0</c:v>
                </c:pt>
                <c:pt idx="1">
                  <c:v>0</c:v>
                </c:pt>
              </c:numCache>
            </c:numRef>
          </c:val>
        </c:ser>
        <c:dLbls>
          <c:showLegendKey val="0"/>
          <c:showVal val="0"/>
          <c:showCatName val="0"/>
          <c:showSerName val="0"/>
          <c:showPercent val="0"/>
          <c:showBubbleSize val="0"/>
        </c:dLbls>
        <c:gapWidth val="219"/>
        <c:overlap val="-27"/>
        <c:axId val="513289504"/>
        <c:axId val="513289112"/>
      </c:barChart>
      <c:catAx>
        <c:axId val="5132895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3289112"/>
        <c:crosses val="autoZero"/>
        <c:auto val="1"/>
        <c:lblAlgn val="ctr"/>
        <c:lblOffset val="100"/>
        <c:noMultiLvlLbl val="0"/>
      </c:catAx>
      <c:valAx>
        <c:axId val="513289112"/>
        <c:scaling>
          <c:orientation val="minMax"/>
        </c:scaling>
        <c:delete val="0"/>
        <c:axPos val="l"/>
        <c:majorGridlines>
          <c:spPr>
            <a:ln w="9525" cap="flat" cmpd="sng" algn="ctr">
              <a:solidFill>
                <a:schemeClr val="tx1">
                  <a:lumMod val="15000"/>
                  <a:lumOff val="85000"/>
                </a:schemeClr>
              </a:solidFill>
              <a:round/>
            </a:ln>
            <a:effectLst/>
          </c:spPr>
        </c:majorGridlines>
        <c:numFmt formatCode="&quot;$&quot;#,##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328950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Drop" dropLines="4" dropStyle="combo" dx="16" fmlaLink="$L$19" fmlaRange="Inputs!$A$18:$A$20" noThreeD="1" sel="3" val="0"/>
</file>

<file path=xl/ctrlProps/ctrlProp2.xml><?xml version="1.0" encoding="utf-8"?>
<formControlPr xmlns="http://schemas.microsoft.com/office/spreadsheetml/2009/9/main" objectType="Drop" dropLines="3" dropStyle="combo" dx="16" fmlaLink="$L$21" fmlaRange="Inputs!$C$24:$C$25" noThreeD="1" sel="2" val="0"/>
</file>

<file path=xl/ctrlProps/ctrlProp3.xml><?xml version="1.0" encoding="utf-8"?>
<formControlPr xmlns="http://schemas.microsoft.com/office/spreadsheetml/2009/9/main" objectType="Drop" dropLines="3" dropStyle="combo" dx="16" fmlaLink="$L$24" fmlaRange="Inputs!$H$6:$H$7" noThreeD="1" sel="2" val="0"/>
</file>

<file path=xl/drawings/_rels/drawing1.xml.rels><?xml version="1.0" encoding="UTF-8" standalone="yes"?>
<Relationships xmlns="http://schemas.openxmlformats.org/package/2006/relationships"><Relationship Id="rId8" Type="http://schemas.openxmlformats.org/officeDocument/2006/relationships/image" Target="../media/image3.png"/><Relationship Id="rId3" Type="http://schemas.openxmlformats.org/officeDocument/2006/relationships/hyperlink" Target="#'Final Balance Sheet'!A1"/><Relationship Id="rId7" Type="http://schemas.openxmlformats.org/officeDocument/2006/relationships/hyperlink" Target="http://learn.cffm.umn.edu/Home.aspx?c=502" TargetMode="External"/><Relationship Id="rId2" Type="http://schemas.openxmlformats.org/officeDocument/2006/relationships/hyperlink" Target="#BSCACash"/><Relationship Id="rId1" Type="http://schemas.openxmlformats.org/officeDocument/2006/relationships/image" Target="../media/image1.jpg"/><Relationship Id="rId6" Type="http://schemas.openxmlformats.org/officeDocument/2006/relationships/hyperlink" Target="http://learn.cffm.umn.edu/Module.aspx?v=1528" TargetMode="External"/><Relationship Id="rId5" Type="http://schemas.openxmlformats.org/officeDocument/2006/relationships/image" Target="../media/image2.png"/><Relationship Id="rId4" Type="http://schemas.openxmlformats.org/officeDocument/2006/relationships/hyperlink" Target="#'P&amp;L-Annual Cash Flow'!C17"/></Relationships>
</file>

<file path=xl/drawings/_rels/drawing2.xml.rels><?xml version="1.0" encoding="UTF-8" standalone="yes"?>
<Relationships xmlns="http://schemas.openxmlformats.org/package/2006/relationships"><Relationship Id="rId3" Type="http://schemas.openxmlformats.org/officeDocument/2006/relationships/hyperlink" Target="#'P&amp;L-Annual Cash Flow'!C17"/><Relationship Id="rId2" Type="http://schemas.openxmlformats.org/officeDocument/2006/relationships/image" Target="../media/image4.png"/><Relationship Id="rId1" Type="http://schemas.openxmlformats.org/officeDocument/2006/relationships/hyperlink" Target="#BSCACash"/><Relationship Id="rId4" Type="http://schemas.openxmlformats.org/officeDocument/2006/relationships/hyperlink" Target="#'Gen Info'!K10"/></Relationships>
</file>

<file path=xl/drawings/_rels/drawing3.xml.rels><?xml version="1.0" encoding="UTF-8" standalone="yes"?>
<Relationships xmlns="http://schemas.openxmlformats.org/package/2006/relationships"><Relationship Id="rId8" Type="http://schemas.openxmlformats.org/officeDocument/2006/relationships/hyperlink" Target="#LoanTPermitEntry"/><Relationship Id="rId13" Type="http://schemas.openxmlformats.org/officeDocument/2006/relationships/hyperlink" Target="#CAPrepaidEntry"/><Relationship Id="rId18" Type="http://schemas.openxmlformats.org/officeDocument/2006/relationships/hyperlink" Target="#NCCapConstEntry"/><Relationship Id="rId26" Type="http://schemas.openxmlformats.org/officeDocument/2006/relationships/hyperlink" Target="#PersLCCEntry"/><Relationship Id="rId39" Type="http://schemas.openxmlformats.org/officeDocument/2006/relationships/hyperlink" Target="#PersOthEntry"/><Relationship Id="rId3" Type="http://schemas.openxmlformats.org/officeDocument/2006/relationships/image" Target="../media/image5.png"/><Relationship Id="rId21" Type="http://schemas.openxmlformats.org/officeDocument/2006/relationships/hyperlink" Target="#CLAPEntry"/><Relationship Id="rId34" Type="http://schemas.openxmlformats.org/officeDocument/2006/relationships/hyperlink" Target="#PersPropEntry"/><Relationship Id="rId42" Type="http://schemas.openxmlformats.org/officeDocument/2006/relationships/hyperlink" Target="#'Gen Info'!K10"/><Relationship Id="rId7" Type="http://schemas.openxmlformats.org/officeDocument/2006/relationships/hyperlink" Target="#LoanTBVeh"/><Relationship Id="rId12" Type="http://schemas.openxmlformats.org/officeDocument/2006/relationships/hyperlink" Target="#CABusLoanEntry"/><Relationship Id="rId17" Type="http://schemas.openxmlformats.org/officeDocument/2006/relationships/hyperlink" Target="#NCPermitsEntry"/><Relationship Id="rId25" Type="http://schemas.openxmlformats.org/officeDocument/2006/relationships/hyperlink" Target="#PersCashEntry"/><Relationship Id="rId33" Type="http://schemas.openxmlformats.org/officeDocument/2006/relationships/hyperlink" Target="#PersLoanEntry"/><Relationship Id="rId38" Type="http://schemas.openxmlformats.org/officeDocument/2006/relationships/hyperlink" Target="#PersREEntry"/><Relationship Id="rId2" Type="http://schemas.openxmlformats.org/officeDocument/2006/relationships/hyperlink" Target="#CACashEntry"/><Relationship Id="rId16" Type="http://schemas.openxmlformats.org/officeDocument/2006/relationships/hyperlink" Target="#NCBizVehEntry"/><Relationship Id="rId20" Type="http://schemas.openxmlformats.org/officeDocument/2006/relationships/hyperlink" Target="#NCOthEntry"/><Relationship Id="rId29" Type="http://schemas.openxmlformats.org/officeDocument/2006/relationships/hyperlink" Target="#NCOthFishEntry"/><Relationship Id="rId41" Type="http://schemas.openxmlformats.org/officeDocument/2006/relationships/image" Target="../media/image4.png"/><Relationship Id="rId1" Type="http://schemas.openxmlformats.org/officeDocument/2006/relationships/hyperlink" Target="#'Final Balance Sheet'!A1"/><Relationship Id="rId6" Type="http://schemas.openxmlformats.org/officeDocument/2006/relationships/hyperlink" Target="#LoanTREEntry"/><Relationship Id="rId11" Type="http://schemas.openxmlformats.org/officeDocument/2006/relationships/hyperlink" Target="#CAOthAREntry"/><Relationship Id="rId24" Type="http://schemas.openxmlformats.org/officeDocument/2006/relationships/hyperlink" Target="#CLOthCurEntry"/><Relationship Id="rId32" Type="http://schemas.openxmlformats.org/officeDocument/2006/relationships/hyperlink" Target="#PersStockEntry"/><Relationship Id="rId37" Type="http://schemas.openxmlformats.org/officeDocument/2006/relationships/hyperlink" Target="#PersRetireEntry"/><Relationship Id="rId40" Type="http://schemas.openxmlformats.org/officeDocument/2006/relationships/hyperlink" Target="#PersLAPEntry"/><Relationship Id="rId5" Type="http://schemas.openxmlformats.org/officeDocument/2006/relationships/hyperlink" Target="#LoanTPersEntry"/><Relationship Id="rId15" Type="http://schemas.openxmlformats.org/officeDocument/2006/relationships/hyperlink" Target="#NCVesselsEntry"/><Relationship Id="rId23" Type="http://schemas.openxmlformats.org/officeDocument/2006/relationships/hyperlink" Target="#CLTaxesEntry"/><Relationship Id="rId28" Type="http://schemas.openxmlformats.org/officeDocument/2006/relationships/hyperlink" Target="#PersLOthEntry"/><Relationship Id="rId36" Type="http://schemas.openxmlformats.org/officeDocument/2006/relationships/hyperlink" Target="#PersLifeInsEntry"/><Relationship Id="rId10" Type="http://schemas.openxmlformats.org/officeDocument/2006/relationships/hyperlink" Target="#CADueEntry"/><Relationship Id="rId19" Type="http://schemas.openxmlformats.org/officeDocument/2006/relationships/hyperlink" Target="#NCREEntry"/><Relationship Id="rId31" Type="http://schemas.openxmlformats.org/officeDocument/2006/relationships/hyperlink" Target="#NCOthLiabEntry"/><Relationship Id="rId4" Type="http://schemas.openxmlformats.org/officeDocument/2006/relationships/hyperlink" Target="#LoanTPerREEntry"/><Relationship Id="rId9" Type="http://schemas.openxmlformats.org/officeDocument/2006/relationships/hyperlink" Target="#LoanTVessEntry"/><Relationship Id="rId14" Type="http://schemas.openxmlformats.org/officeDocument/2006/relationships/hyperlink" Target="#CAOtherEntry"/><Relationship Id="rId22" Type="http://schemas.openxmlformats.org/officeDocument/2006/relationships/hyperlink" Target="#CLBizCCEntry"/><Relationship Id="rId27" Type="http://schemas.openxmlformats.org/officeDocument/2006/relationships/hyperlink" Target="#PersLTaxesEntry"/><Relationship Id="rId30" Type="http://schemas.openxmlformats.org/officeDocument/2006/relationships/hyperlink" Target="#LoanTCurrEntry"/><Relationship Id="rId35" Type="http://schemas.openxmlformats.org/officeDocument/2006/relationships/hyperlink" Target="#PersVehEntry"/><Relationship Id="rId43" Type="http://schemas.openxmlformats.org/officeDocument/2006/relationships/hyperlink" Target="http://learn.cffm.umn.edu/Module.aspx?v=1529" TargetMode="External"/></Relationships>
</file>

<file path=xl/drawings/_rels/drawing4.xml.rels><?xml version="1.0" encoding="UTF-8" standalone="yes"?>
<Relationships xmlns="http://schemas.openxmlformats.org/package/2006/relationships"><Relationship Id="rId8" Type="http://schemas.openxmlformats.org/officeDocument/2006/relationships/hyperlink" Target="#BSNCVessel"/><Relationship Id="rId13" Type="http://schemas.openxmlformats.org/officeDocument/2006/relationships/hyperlink" Target="#BSNCRE"/><Relationship Id="rId18" Type="http://schemas.openxmlformats.org/officeDocument/2006/relationships/hyperlink" Target="#BSPProp"/><Relationship Id="rId3" Type="http://schemas.openxmlformats.org/officeDocument/2006/relationships/hyperlink" Target="#BSCADueProc"/><Relationship Id="rId21" Type="http://schemas.openxmlformats.org/officeDocument/2006/relationships/hyperlink" Target="#BSPRE"/><Relationship Id="rId7" Type="http://schemas.openxmlformats.org/officeDocument/2006/relationships/hyperlink" Target="#BSCAOther"/><Relationship Id="rId12" Type="http://schemas.openxmlformats.org/officeDocument/2006/relationships/hyperlink" Target="#BSNCCapConst"/><Relationship Id="rId17" Type="http://schemas.openxmlformats.org/officeDocument/2006/relationships/hyperlink" Target="#BSPLR"/><Relationship Id="rId2" Type="http://schemas.openxmlformats.org/officeDocument/2006/relationships/image" Target="../media/image6.png"/><Relationship Id="rId16" Type="http://schemas.openxmlformats.org/officeDocument/2006/relationships/hyperlink" Target="#BSPStocks"/><Relationship Id="rId20" Type="http://schemas.openxmlformats.org/officeDocument/2006/relationships/hyperlink" Target="#BSPLife"/><Relationship Id="rId1" Type="http://schemas.openxmlformats.org/officeDocument/2006/relationships/hyperlink" Target="#BSCACash"/><Relationship Id="rId6" Type="http://schemas.openxmlformats.org/officeDocument/2006/relationships/hyperlink" Target="#BSCAPrepaid"/><Relationship Id="rId11" Type="http://schemas.openxmlformats.org/officeDocument/2006/relationships/hyperlink" Target="#BSNCPermits"/><Relationship Id="rId24" Type="http://schemas.openxmlformats.org/officeDocument/2006/relationships/hyperlink" Target="#'Gen Info'!K10"/><Relationship Id="rId5" Type="http://schemas.openxmlformats.org/officeDocument/2006/relationships/hyperlink" Target="#BSCABusLoans"/><Relationship Id="rId15" Type="http://schemas.openxmlformats.org/officeDocument/2006/relationships/hyperlink" Target="#BSPersCash"/><Relationship Id="rId23" Type="http://schemas.openxmlformats.org/officeDocument/2006/relationships/hyperlink" Target="#BSPOth"/><Relationship Id="rId10" Type="http://schemas.openxmlformats.org/officeDocument/2006/relationships/hyperlink" Target="#BSNCVehicles"/><Relationship Id="rId19" Type="http://schemas.openxmlformats.org/officeDocument/2006/relationships/hyperlink" Target="#BSPVeh"/><Relationship Id="rId4" Type="http://schemas.openxmlformats.org/officeDocument/2006/relationships/hyperlink" Target="#BSCAOthBusAR"/><Relationship Id="rId9" Type="http://schemas.openxmlformats.org/officeDocument/2006/relationships/hyperlink" Target="#BSNCOthFishEquip"/><Relationship Id="rId14" Type="http://schemas.openxmlformats.org/officeDocument/2006/relationships/hyperlink" Target="#BSNCOth"/><Relationship Id="rId22" Type="http://schemas.openxmlformats.org/officeDocument/2006/relationships/hyperlink" Target="#BSPRetire"/></Relationships>
</file>

<file path=xl/drawings/_rels/drawing5.xml.rels><?xml version="1.0" encoding="UTF-8" standalone="yes"?>
<Relationships xmlns="http://schemas.openxmlformats.org/package/2006/relationships"><Relationship Id="rId8" Type="http://schemas.openxmlformats.org/officeDocument/2006/relationships/hyperlink" Target="#BSPLCC"/><Relationship Id="rId3" Type="http://schemas.openxmlformats.org/officeDocument/2006/relationships/hyperlink" Target="#BSCLCC"/><Relationship Id="rId7" Type="http://schemas.openxmlformats.org/officeDocument/2006/relationships/hyperlink" Target="#BSPLAP"/><Relationship Id="rId12" Type="http://schemas.openxmlformats.org/officeDocument/2006/relationships/hyperlink" Target="#BSCACash"/><Relationship Id="rId2" Type="http://schemas.openxmlformats.org/officeDocument/2006/relationships/image" Target="../media/image6.png"/><Relationship Id="rId1" Type="http://schemas.openxmlformats.org/officeDocument/2006/relationships/hyperlink" Target="#BSCLAP"/><Relationship Id="rId6" Type="http://schemas.openxmlformats.org/officeDocument/2006/relationships/hyperlink" Target="#BSNLOth"/><Relationship Id="rId11" Type="http://schemas.openxmlformats.org/officeDocument/2006/relationships/hyperlink" Target="#'Gen Info'!K10"/><Relationship Id="rId5" Type="http://schemas.openxmlformats.org/officeDocument/2006/relationships/hyperlink" Target="#BSCLOth"/><Relationship Id="rId10" Type="http://schemas.openxmlformats.org/officeDocument/2006/relationships/hyperlink" Target="#BSPLOth"/><Relationship Id="rId4" Type="http://schemas.openxmlformats.org/officeDocument/2006/relationships/hyperlink" Target="#BSCLTaxes"/><Relationship Id="rId9" Type="http://schemas.openxmlformats.org/officeDocument/2006/relationships/hyperlink" Target="#BSPLTaxes"/></Relationships>
</file>

<file path=xl/drawings/_rels/drawing6.xml.rels><?xml version="1.0" encoding="UTF-8" standalone="yes"?>
<Relationships xmlns="http://schemas.openxmlformats.org/package/2006/relationships"><Relationship Id="rId8" Type="http://schemas.openxmlformats.org/officeDocument/2006/relationships/hyperlink" Target="#BSPLLoans"/><Relationship Id="rId3" Type="http://schemas.openxmlformats.org/officeDocument/2006/relationships/hyperlink" Target="#BSNLVessel"/><Relationship Id="rId7" Type="http://schemas.openxmlformats.org/officeDocument/2006/relationships/hyperlink" Target="#BSNLRE"/><Relationship Id="rId2" Type="http://schemas.openxmlformats.org/officeDocument/2006/relationships/image" Target="../media/image7.png"/><Relationship Id="rId1" Type="http://schemas.openxmlformats.org/officeDocument/2006/relationships/hyperlink" Target="#BSCLCurrent"/><Relationship Id="rId6" Type="http://schemas.openxmlformats.org/officeDocument/2006/relationships/hyperlink" Target="#BSNLBVeh"/><Relationship Id="rId11" Type="http://schemas.openxmlformats.org/officeDocument/2006/relationships/hyperlink" Target="#BSCACash"/><Relationship Id="rId5" Type="http://schemas.openxmlformats.org/officeDocument/2006/relationships/hyperlink" Target="#BSNLPermit"/><Relationship Id="rId10" Type="http://schemas.openxmlformats.org/officeDocument/2006/relationships/hyperlink" Target="#'Gen Info'!K10"/><Relationship Id="rId4" Type="http://schemas.openxmlformats.org/officeDocument/2006/relationships/image" Target="../media/image8.png"/><Relationship Id="rId9" Type="http://schemas.openxmlformats.org/officeDocument/2006/relationships/hyperlink" Target="#BSPLRE"/></Relationships>
</file>

<file path=xl/drawings/_rels/drawing7.xml.rels><?xml version="1.0" encoding="UTF-8" standalone="yes"?>
<Relationships xmlns="http://schemas.openxmlformats.org/package/2006/relationships"><Relationship Id="rId26" Type="http://schemas.openxmlformats.org/officeDocument/2006/relationships/hyperlink" Target="#MCFVCMiscInput"/><Relationship Id="rId21" Type="http://schemas.openxmlformats.org/officeDocument/2006/relationships/hyperlink" Target="#MCFVCProvisionsInput"/><Relationship Id="rId42" Type="http://schemas.openxmlformats.org/officeDocument/2006/relationships/hyperlink" Target="#MCFDMSaleInput"/><Relationship Id="rId47" Type="http://schemas.openxmlformats.org/officeDocument/2006/relationships/hyperlink" Target="#MCFDMVCInsInput"/><Relationship Id="rId63" Type="http://schemas.openxmlformats.org/officeDocument/2006/relationships/hyperlink" Target="#MCFDMPrinInput"/><Relationship Id="rId68" Type="http://schemas.openxmlformats.org/officeDocument/2006/relationships/hyperlink" Target="#MCFPOthInput"/><Relationship Id="rId84" Type="http://schemas.openxmlformats.org/officeDocument/2006/relationships/hyperlink" Target="#MCFPSupInput"/><Relationship Id="rId89" Type="http://schemas.openxmlformats.org/officeDocument/2006/relationships/hyperlink" Target="#MCFPRecInput"/><Relationship Id="rId7" Type="http://schemas.openxmlformats.org/officeDocument/2006/relationships/chart" Target="../charts/chart1.xml"/><Relationship Id="rId71" Type="http://schemas.openxmlformats.org/officeDocument/2006/relationships/hyperlink" Target="#MCFPInsInput"/><Relationship Id="rId92" Type="http://schemas.openxmlformats.org/officeDocument/2006/relationships/hyperlink" Target="#MCFPPropInsInput"/><Relationship Id="rId2" Type="http://schemas.openxmlformats.org/officeDocument/2006/relationships/hyperlink" Target="#ProjPersonal"/><Relationship Id="rId16" Type="http://schemas.openxmlformats.org/officeDocument/2006/relationships/hyperlink" Target="#MCFGainVesInput"/><Relationship Id="rId29" Type="http://schemas.openxmlformats.org/officeDocument/2006/relationships/hyperlink" Target="#MCFFCPortInput"/><Relationship Id="rId11" Type="http://schemas.openxmlformats.org/officeDocument/2006/relationships/chart" Target="../charts/chart5.xml"/><Relationship Id="rId24" Type="http://schemas.openxmlformats.org/officeDocument/2006/relationships/hyperlink" Target="#MCFVCRepairsInput"/><Relationship Id="rId32" Type="http://schemas.openxmlformats.org/officeDocument/2006/relationships/hyperlink" Target="#MCFFCDeprInput"/><Relationship Id="rId37" Type="http://schemas.openxmlformats.org/officeDocument/2006/relationships/hyperlink" Target="#MCFFCMiscInput"/><Relationship Id="rId40" Type="http://schemas.openxmlformats.org/officeDocument/2006/relationships/hyperlink" Target="#MCFVesSalesInput"/><Relationship Id="rId45" Type="http://schemas.openxmlformats.org/officeDocument/2006/relationships/hyperlink" Target="#MCFDMOthInput"/><Relationship Id="rId53" Type="http://schemas.openxmlformats.org/officeDocument/2006/relationships/hyperlink" Target="#MCFDMVCPurchInput"/><Relationship Id="rId58" Type="http://schemas.openxmlformats.org/officeDocument/2006/relationships/hyperlink" Target="#MCFDMFCPermitsInput"/><Relationship Id="rId66" Type="http://schemas.openxmlformats.org/officeDocument/2006/relationships/hyperlink" Target="#MCFPIntIncInput"/><Relationship Id="rId74" Type="http://schemas.openxmlformats.org/officeDocument/2006/relationships/hyperlink" Target="#MCFPLoanPayInput"/><Relationship Id="rId79" Type="http://schemas.openxmlformats.org/officeDocument/2006/relationships/hyperlink" Target="#MCFPOthPayInput"/><Relationship Id="rId87" Type="http://schemas.openxmlformats.org/officeDocument/2006/relationships/hyperlink" Target="#MCFPChildCareInput"/><Relationship Id="rId102" Type="http://schemas.openxmlformats.org/officeDocument/2006/relationships/hyperlink" Target="#MCFPIncPersREEInput"/><Relationship Id="rId5" Type="http://schemas.openxmlformats.org/officeDocument/2006/relationships/image" Target="../media/image10.png"/><Relationship Id="rId61" Type="http://schemas.openxmlformats.org/officeDocument/2006/relationships/hyperlink" Target="#MCFDMFCMiscInput"/><Relationship Id="rId82" Type="http://schemas.openxmlformats.org/officeDocument/2006/relationships/hyperlink" Target="#MCFPDisInsInput"/><Relationship Id="rId90" Type="http://schemas.openxmlformats.org/officeDocument/2006/relationships/hyperlink" Target="#MCFPUtilInput"/><Relationship Id="rId95" Type="http://schemas.openxmlformats.org/officeDocument/2006/relationships/hyperlink" Target="#MCFDMCapPurchInput"/><Relationship Id="rId19" Type="http://schemas.openxmlformats.org/officeDocument/2006/relationships/hyperlink" Target="#MCFVCCrewInput"/><Relationship Id="rId14" Type="http://schemas.openxmlformats.org/officeDocument/2006/relationships/hyperlink" Target="#MCFOthIncomeInput"/><Relationship Id="rId22" Type="http://schemas.openxmlformats.org/officeDocument/2006/relationships/hyperlink" Target="#MCFVCFuelInput"/><Relationship Id="rId27" Type="http://schemas.openxmlformats.org/officeDocument/2006/relationships/hyperlink" Target="#MCFVCTaxesInput"/><Relationship Id="rId30" Type="http://schemas.openxmlformats.org/officeDocument/2006/relationships/hyperlink" Target="#MCFFCPermitInput"/><Relationship Id="rId35" Type="http://schemas.openxmlformats.org/officeDocument/2006/relationships/hyperlink" Target="#MCFFCProfInput"/><Relationship Id="rId43" Type="http://schemas.openxmlformats.org/officeDocument/2006/relationships/hyperlink" Target="#MCFDMEtcInput"/><Relationship Id="rId48" Type="http://schemas.openxmlformats.org/officeDocument/2006/relationships/hyperlink" Target="#MCFDMVCPackInput"/><Relationship Id="rId56" Type="http://schemas.openxmlformats.org/officeDocument/2006/relationships/hyperlink" Target="#MCFDMFCRentInput"/><Relationship Id="rId64" Type="http://schemas.openxmlformats.org/officeDocument/2006/relationships/hyperlink" Target="#MCFDMEquipBSValInput"/><Relationship Id="rId69" Type="http://schemas.openxmlformats.org/officeDocument/2006/relationships/hyperlink" Target="#MCFPFoodInput"/><Relationship Id="rId77" Type="http://schemas.openxmlformats.org/officeDocument/2006/relationships/hyperlink" Target="#MCFPCharityInput"/><Relationship Id="rId100" Type="http://schemas.openxmlformats.org/officeDocument/2006/relationships/hyperlink" Target="#MCFDMShoreSaleInput"/><Relationship Id="rId8" Type="http://schemas.openxmlformats.org/officeDocument/2006/relationships/chart" Target="../charts/chart2.xml"/><Relationship Id="rId51" Type="http://schemas.openxmlformats.org/officeDocument/2006/relationships/hyperlink" Target="#MCFDMVCUtilInput"/><Relationship Id="rId72" Type="http://schemas.openxmlformats.org/officeDocument/2006/relationships/hyperlink" Target="#MCFPGiftsInput"/><Relationship Id="rId80" Type="http://schemas.openxmlformats.org/officeDocument/2006/relationships/hyperlink" Target="#MCFNewCredInput"/><Relationship Id="rId85" Type="http://schemas.openxmlformats.org/officeDocument/2006/relationships/hyperlink" Target="#MCFPClothingInput"/><Relationship Id="rId93" Type="http://schemas.openxmlformats.org/officeDocument/2006/relationships/hyperlink" Target="#MCFPRETaxesInput"/><Relationship Id="rId98" Type="http://schemas.openxmlformats.org/officeDocument/2006/relationships/hyperlink" Target="#MCFPermitSalesInput"/><Relationship Id="rId3" Type="http://schemas.openxmlformats.org/officeDocument/2006/relationships/image" Target="../media/image9.png"/><Relationship Id="rId12" Type="http://schemas.openxmlformats.org/officeDocument/2006/relationships/hyperlink" Target="#MCFFishSalesInput"/><Relationship Id="rId17" Type="http://schemas.openxmlformats.org/officeDocument/2006/relationships/hyperlink" Target="#MCFGainPermitInput"/><Relationship Id="rId25" Type="http://schemas.openxmlformats.org/officeDocument/2006/relationships/hyperlink" Target="#MCFVCBairInput"/><Relationship Id="rId33" Type="http://schemas.openxmlformats.org/officeDocument/2006/relationships/hyperlink" Target="#MCFFCPermitsInput"/><Relationship Id="rId38" Type="http://schemas.openxmlformats.org/officeDocument/2006/relationships/hyperlink" Target="#MCFFCOthInput"/><Relationship Id="rId46" Type="http://schemas.openxmlformats.org/officeDocument/2006/relationships/hyperlink" Target="#MCFDMVCLaborInput"/><Relationship Id="rId59" Type="http://schemas.openxmlformats.org/officeDocument/2006/relationships/hyperlink" Target="#MCFDMFCVehInput"/><Relationship Id="rId67" Type="http://schemas.openxmlformats.org/officeDocument/2006/relationships/hyperlink" Target="#MCFPInvestInput"/><Relationship Id="rId103" Type="http://schemas.openxmlformats.org/officeDocument/2006/relationships/hyperlink" Target="#MCFPIncPersLoansInput"/><Relationship Id="rId20" Type="http://schemas.openxmlformats.org/officeDocument/2006/relationships/hyperlink" Target="#MCFVCCrewInsInput"/><Relationship Id="rId41" Type="http://schemas.openxmlformats.org/officeDocument/2006/relationships/hyperlink" Target="#MCFQuotaBSValInput"/><Relationship Id="rId54" Type="http://schemas.openxmlformats.org/officeDocument/2006/relationships/hyperlink" Target="#MCFDMVCMiscInput"/><Relationship Id="rId62" Type="http://schemas.openxmlformats.org/officeDocument/2006/relationships/hyperlink" Target="#MCFDMFCOthInput"/><Relationship Id="rId70" Type="http://schemas.openxmlformats.org/officeDocument/2006/relationships/hyperlink" Target="#MCFPMedicalInput"/><Relationship Id="rId75" Type="http://schemas.openxmlformats.org/officeDocument/2006/relationships/hyperlink" Target="#MCFPMortInput"/><Relationship Id="rId83" Type="http://schemas.openxmlformats.org/officeDocument/2006/relationships/hyperlink" Target="#MCFPLifeInsInput"/><Relationship Id="rId88" Type="http://schemas.openxmlformats.org/officeDocument/2006/relationships/hyperlink" Target="#MCFPEducationInput"/><Relationship Id="rId91" Type="http://schemas.openxmlformats.org/officeDocument/2006/relationships/hyperlink" Target="#MCFPVehInput"/><Relationship Id="rId96" Type="http://schemas.openxmlformats.org/officeDocument/2006/relationships/hyperlink" Target="#'Gen Info'!K10"/><Relationship Id="rId1" Type="http://schemas.openxmlformats.org/officeDocument/2006/relationships/image" Target="../media/image4.png"/><Relationship Id="rId6" Type="http://schemas.openxmlformats.org/officeDocument/2006/relationships/hyperlink" Target="#HowSell"/><Relationship Id="rId15" Type="http://schemas.openxmlformats.org/officeDocument/2006/relationships/hyperlink" Target="#MCFVesleaseInput"/><Relationship Id="rId23" Type="http://schemas.openxmlformats.org/officeDocument/2006/relationships/hyperlink" Target="#MCFVCGearInput"/><Relationship Id="rId28" Type="http://schemas.openxmlformats.org/officeDocument/2006/relationships/hyperlink" Target="#MCFVCOthInput"/><Relationship Id="rId36" Type="http://schemas.openxmlformats.org/officeDocument/2006/relationships/hyperlink" Target="#MCFFCPropTaxesInput"/><Relationship Id="rId49" Type="http://schemas.openxmlformats.org/officeDocument/2006/relationships/hyperlink" Target="#MCFDMVCSuppliedInput"/><Relationship Id="rId57" Type="http://schemas.openxmlformats.org/officeDocument/2006/relationships/hyperlink" Target="#MCFDMFCPromoInput"/><Relationship Id="rId10" Type="http://schemas.openxmlformats.org/officeDocument/2006/relationships/chart" Target="../charts/chart4.xml"/><Relationship Id="rId31" Type="http://schemas.openxmlformats.org/officeDocument/2006/relationships/hyperlink" Target="#MCFFCInterestInput"/><Relationship Id="rId44" Type="http://schemas.openxmlformats.org/officeDocument/2006/relationships/hyperlink" Target="#MCFDMGainInput"/><Relationship Id="rId52" Type="http://schemas.openxmlformats.org/officeDocument/2006/relationships/hyperlink" Target="#MCFDMVCColdInput"/><Relationship Id="rId60" Type="http://schemas.openxmlformats.org/officeDocument/2006/relationships/hyperlink" Target="#MCFDMVCDeprShoreInput"/><Relationship Id="rId65" Type="http://schemas.openxmlformats.org/officeDocument/2006/relationships/hyperlink" Target="#MCFPWageInput"/><Relationship Id="rId73" Type="http://schemas.openxmlformats.org/officeDocument/2006/relationships/hyperlink" Target="#MCFPChildSupportInput"/><Relationship Id="rId78" Type="http://schemas.openxmlformats.org/officeDocument/2006/relationships/hyperlink" Target="#MCFPOthPurchInput"/><Relationship Id="rId81" Type="http://schemas.openxmlformats.org/officeDocument/2006/relationships/hyperlink" Target="#MCFCapPurchInput"/><Relationship Id="rId86" Type="http://schemas.openxmlformats.org/officeDocument/2006/relationships/hyperlink" Target="#MCFPPersCareInput"/><Relationship Id="rId94" Type="http://schemas.openxmlformats.org/officeDocument/2006/relationships/hyperlink" Target="#MCFDMNewCredInput"/><Relationship Id="rId99" Type="http://schemas.openxmlformats.org/officeDocument/2006/relationships/hyperlink" Target="#MCFVesBSValInput"/><Relationship Id="rId101" Type="http://schemas.openxmlformats.org/officeDocument/2006/relationships/hyperlink" Target="#MCFDMFCIntInput"/><Relationship Id="rId4" Type="http://schemas.openxmlformats.org/officeDocument/2006/relationships/hyperlink" Target="#ProjTime"/><Relationship Id="rId9" Type="http://schemas.openxmlformats.org/officeDocument/2006/relationships/chart" Target="../charts/chart3.xml"/><Relationship Id="rId13" Type="http://schemas.openxmlformats.org/officeDocument/2006/relationships/image" Target="../media/image11.emf"/><Relationship Id="rId18" Type="http://schemas.openxmlformats.org/officeDocument/2006/relationships/hyperlink" Target="#MCFCrewEarnedInput"/><Relationship Id="rId39" Type="http://schemas.openxmlformats.org/officeDocument/2006/relationships/hyperlink" Target="#MCFPrinInput"/><Relationship Id="rId34" Type="http://schemas.openxmlformats.org/officeDocument/2006/relationships/hyperlink" Target="#MCFFCVesInsInput"/><Relationship Id="rId50" Type="http://schemas.openxmlformats.org/officeDocument/2006/relationships/hyperlink" Target="#MCFDMVCShippingInput"/><Relationship Id="rId55" Type="http://schemas.openxmlformats.org/officeDocument/2006/relationships/hyperlink" Target="#MCFDMVCOthInput"/><Relationship Id="rId76" Type="http://schemas.openxmlformats.org/officeDocument/2006/relationships/hyperlink" Target="#MCFPIncTaxInput"/><Relationship Id="rId97" Type="http://schemas.openxmlformats.org/officeDocument/2006/relationships/hyperlink" Target="http://learn.cffm.umn.edu/Module.aspx?v=1530" TargetMode="External"/></Relationships>
</file>

<file path=xl/drawings/_rels/drawing8.xml.rels><?xml version="1.0" encoding="UTF-8" standalone="yes"?>
<Relationships xmlns="http://schemas.openxmlformats.org/package/2006/relationships"><Relationship Id="rId26" Type="http://schemas.openxmlformats.org/officeDocument/2006/relationships/hyperlink" Target="#ACFFCPermitInput"/><Relationship Id="rId21" Type="http://schemas.openxmlformats.org/officeDocument/2006/relationships/hyperlink" Target="#ACFVCBaitInput"/><Relationship Id="rId34" Type="http://schemas.openxmlformats.org/officeDocument/2006/relationships/hyperlink" Target="#ACFFCOthInput"/><Relationship Id="rId42" Type="http://schemas.openxmlformats.org/officeDocument/2006/relationships/hyperlink" Target="#ACFDMVCLaborInput"/><Relationship Id="rId47" Type="http://schemas.openxmlformats.org/officeDocument/2006/relationships/hyperlink" Target="#ACFDMVCUtilInput"/><Relationship Id="rId50" Type="http://schemas.openxmlformats.org/officeDocument/2006/relationships/hyperlink" Target="#ACFDMVCMiscInput"/><Relationship Id="rId55" Type="http://schemas.openxmlformats.org/officeDocument/2006/relationships/hyperlink" Target="#ACFDMFCVehInput"/><Relationship Id="rId63" Type="http://schemas.openxmlformats.org/officeDocument/2006/relationships/hyperlink" Target="#ACFPInvestInput"/><Relationship Id="rId68" Type="http://schemas.openxmlformats.org/officeDocument/2006/relationships/hyperlink" Target="#ACFPLifeInsInput"/><Relationship Id="rId76" Type="http://schemas.openxmlformats.org/officeDocument/2006/relationships/hyperlink" Target="#ACFNewCredInput"/><Relationship Id="rId84" Type="http://schemas.openxmlformats.org/officeDocument/2006/relationships/hyperlink" Target="#ACFPPersCareInput"/><Relationship Id="rId89" Type="http://schemas.openxmlformats.org/officeDocument/2006/relationships/hyperlink" Target="#ACFPUtilInput"/><Relationship Id="rId97" Type="http://schemas.openxmlformats.org/officeDocument/2006/relationships/hyperlink" Target="#ACFPIncPersLoansInput"/><Relationship Id="rId7" Type="http://schemas.openxmlformats.org/officeDocument/2006/relationships/hyperlink" Target="#'P&amp;L-Annual Cash Flow'!C17"/><Relationship Id="rId71" Type="http://schemas.openxmlformats.org/officeDocument/2006/relationships/hyperlink" Target="#ACFPMortInput"/><Relationship Id="rId92" Type="http://schemas.openxmlformats.org/officeDocument/2006/relationships/hyperlink" Target="#ACFVesBSValInput"/><Relationship Id="rId2" Type="http://schemas.openxmlformats.org/officeDocument/2006/relationships/hyperlink" Target="#ProjPersonal"/><Relationship Id="rId16" Type="http://schemas.openxmlformats.org/officeDocument/2006/relationships/hyperlink" Target="#ACFVCCrewInsInput"/><Relationship Id="rId29" Type="http://schemas.openxmlformats.org/officeDocument/2006/relationships/hyperlink" Target="#ACFFCPermitsInput"/><Relationship Id="rId11" Type="http://schemas.openxmlformats.org/officeDocument/2006/relationships/hyperlink" Target="#ACFGainVesInput"/><Relationship Id="rId24" Type="http://schemas.openxmlformats.org/officeDocument/2006/relationships/hyperlink" Target="#ACFVCMiscInput"/><Relationship Id="rId32" Type="http://schemas.openxmlformats.org/officeDocument/2006/relationships/hyperlink" Target="#ACFFCPropTaxInput"/><Relationship Id="rId37" Type="http://schemas.openxmlformats.org/officeDocument/2006/relationships/hyperlink" Target="#ACFPermitSaleInput"/><Relationship Id="rId40" Type="http://schemas.openxmlformats.org/officeDocument/2006/relationships/hyperlink" Target="#ACFDMGainInput"/><Relationship Id="rId45" Type="http://schemas.openxmlformats.org/officeDocument/2006/relationships/hyperlink" Target="#ACFDMVCSuppliesInput"/><Relationship Id="rId53" Type="http://schemas.openxmlformats.org/officeDocument/2006/relationships/hyperlink" Target="#ACFDMFCPromoInput"/><Relationship Id="rId58" Type="http://schemas.openxmlformats.org/officeDocument/2006/relationships/hyperlink" Target="#ACFDMFCOthInput"/><Relationship Id="rId66" Type="http://schemas.openxmlformats.org/officeDocument/2006/relationships/hyperlink" Target="#ACFPMedicalInput"/><Relationship Id="rId74" Type="http://schemas.openxmlformats.org/officeDocument/2006/relationships/hyperlink" Target="#ACFPOthPurchInput"/><Relationship Id="rId79" Type="http://schemas.openxmlformats.org/officeDocument/2006/relationships/hyperlink" Target="#ACFDMCapPurchInput"/><Relationship Id="rId87" Type="http://schemas.openxmlformats.org/officeDocument/2006/relationships/hyperlink" Target="#ACFPEducationInput"/><Relationship Id="rId5" Type="http://schemas.openxmlformats.org/officeDocument/2006/relationships/image" Target="../media/image13.png"/><Relationship Id="rId61" Type="http://schemas.openxmlformats.org/officeDocument/2006/relationships/hyperlink" Target="#ACFPWagesInput"/><Relationship Id="rId82" Type="http://schemas.openxmlformats.org/officeDocument/2006/relationships/hyperlink" Target="#ACFPSupInput"/><Relationship Id="rId90" Type="http://schemas.openxmlformats.org/officeDocument/2006/relationships/hyperlink" Target="#ACFPPropInsInput"/><Relationship Id="rId95" Type="http://schemas.openxmlformats.org/officeDocument/2006/relationships/hyperlink" Target="#ACFDMFCIntInput"/><Relationship Id="rId19" Type="http://schemas.openxmlformats.org/officeDocument/2006/relationships/hyperlink" Target="#ACFVCGearInput"/><Relationship Id="rId14" Type="http://schemas.openxmlformats.org/officeDocument/2006/relationships/hyperlink" Target="#ACFOthIncomeInput"/><Relationship Id="rId22" Type="http://schemas.openxmlformats.org/officeDocument/2006/relationships/hyperlink" Target="#ACFVCTaxesInput"/><Relationship Id="rId27" Type="http://schemas.openxmlformats.org/officeDocument/2006/relationships/hyperlink" Target="#ACFFCInterestInput"/><Relationship Id="rId30" Type="http://schemas.openxmlformats.org/officeDocument/2006/relationships/hyperlink" Target="#ACFFCVesInsInput"/><Relationship Id="rId35" Type="http://schemas.openxmlformats.org/officeDocument/2006/relationships/hyperlink" Target="#ACFPrinInput"/><Relationship Id="rId43" Type="http://schemas.openxmlformats.org/officeDocument/2006/relationships/hyperlink" Target="#ACFDMVCInsInput"/><Relationship Id="rId48" Type="http://schemas.openxmlformats.org/officeDocument/2006/relationships/hyperlink" Target="#ACFDMVCColdInput"/><Relationship Id="rId56" Type="http://schemas.openxmlformats.org/officeDocument/2006/relationships/hyperlink" Target="#ACFDMFCDeprInput"/><Relationship Id="rId64" Type="http://schemas.openxmlformats.org/officeDocument/2006/relationships/hyperlink" Target="#ACFPOthIncInput"/><Relationship Id="rId69" Type="http://schemas.openxmlformats.org/officeDocument/2006/relationships/hyperlink" Target="#ACFPVehInput"/><Relationship Id="rId77" Type="http://schemas.openxmlformats.org/officeDocument/2006/relationships/hyperlink" Target="#ACFCapPurchInput"/><Relationship Id="rId8" Type="http://schemas.openxmlformats.org/officeDocument/2006/relationships/hyperlink" Target="#ACFFishSalesInput"/><Relationship Id="rId51" Type="http://schemas.openxmlformats.org/officeDocument/2006/relationships/hyperlink" Target="#ACFDMVCOthInput"/><Relationship Id="rId72" Type="http://schemas.openxmlformats.org/officeDocument/2006/relationships/hyperlink" Target="#ACFPRETaxesInput"/><Relationship Id="rId80" Type="http://schemas.openxmlformats.org/officeDocument/2006/relationships/hyperlink" Target="#ACFPDisInsInput"/><Relationship Id="rId85" Type="http://schemas.openxmlformats.org/officeDocument/2006/relationships/hyperlink" Target="#ACFPChildCareInput"/><Relationship Id="rId93" Type="http://schemas.openxmlformats.org/officeDocument/2006/relationships/hyperlink" Target="#ACFPermitBSValInput"/><Relationship Id="rId3" Type="http://schemas.openxmlformats.org/officeDocument/2006/relationships/image" Target="../media/image9.png"/><Relationship Id="rId12" Type="http://schemas.openxmlformats.org/officeDocument/2006/relationships/hyperlink" Target="#ACFGainPermitInput"/><Relationship Id="rId17" Type="http://schemas.openxmlformats.org/officeDocument/2006/relationships/hyperlink" Target="#ACFVCProvisionsInput"/><Relationship Id="rId25" Type="http://schemas.openxmlformats.org/officeDocument/2006/relationships/hyperlink" Target="#ACFFCPortInput"/><Relationship Id="rId33" Type="http://schemas.openxmlformats.org/officeDocument/2006/relationships/hyperlink" Target="#ACFFCMiscInput"/><Relationship Id="rId38" Type="http://schemas.openxmlformats.org/officeDocument/2006/relationships/hyperlink" Target="#ACFDMSaleInput"/><Relationship Id="rId46" Type="http://schemas.openxmlformats.org/officeDocument/2006/relationships/hyperlink" Target="#ACFDMVCShipInput"/><Relationship Id="rId59" Type="http://schemas.openxmlformats.org/officeDocument/2006/relationships/hyperlink" Target="#ACFDMPrinInput"/><Relationship Id="rId67" Type="http://schemas.openxmlformats.org/officeDocument/2006/relationships/hyperlink" Target="#ACFPInsInput"/><Relationship Id="rId20" Type="http://schemas.openxmlformats.org/officeDocument/2006/relationships/hyperlink" Target="#ACFVCRepairsInput"/><Relationship Id="rId41" Type="http://schemas.openxmlformats.org/officeDocument/2006/relationships/hyperlink" Target="#ACFDMOthInput"/><Relationship Id="rId54" Type="http://schemas.openxmlformats.org/officeDocument/2006/relationships/hyperlink" Target="#ACFDMFCPermitsInput"/><Relationship Id="rId62" Type="http://schemas.openxmlformats.org/officeDocument/2006/relationships/hyperlink" Target="#ACFPIntInput"/><Relationship Id="rId70" Type="http://schemas.openxmlformats.org/officeDocument/2006/relationships/hyperlink" Target="#ACFPLoanPayInput"/><Relationship Id="rId75" Type="http://schemas.openxmlformats.org/officeDocument/2006/relationships/hyperlink" Target="#ACFPOthPayInput"/><Relationship Id="rId83" Type="http://schemas.openxmlformats.org/officeDocument/2006/relationships/hyperlink" Target="#ACFPClothingInput"/><Relationship Id="rId88" Type="http://schemas.openxmlformats.org/officeDocument/2006/relationships/hyperlink" Target="#ACFPRecInput"/><Relationship Id="rId91" Type="http://schemas.openxmlformats.org/officeDocument/2006/relationships/hyperlink" Target="#'Gen Info'!K10"/><Relationship Id="rId96" Type="http://schemas.openxmlformats.org/officeDocument/2006/relationships/hyperlink" Target="#ACFPIncPersREEInput"/><Relationship Id="rId1" Type="http://schemas.openxmlformats.org/officeDocument/2006/relationships/image" Target="../media/image4.png"/><Relationship Id="rId6" Type="http://schemas.openxmlformats.org/officeDocument/2006/relationships/hyperlink" Target="#HowSell"/><Relationship Id="rId15" Type="http://schemas.openxmlformats.org/officeDocument/2006/relationships/hyperlink" Target="#ACFVCCrewInput"/><Relationship Id="rId23" Type="http://schemas.openxmlformats.org/officeDocument/2006/relationships/hyperlink" Target="#ACFVCOthInput"/><Relationship Id="rId28" Type="http://schemas.openxmlformats.org/officeDocument/2006/relationships/hyperlink" Target="#ACFFCDeprInput"/><Relationship Id="rId36" Type="http://schemas.openxmlformats.org/officeDocument/2006/relationships/hyperlink" Target="#ACFVesSalesInput"/><Relationship Id="rId49" Type="http://schemas.openxmlformats.org/officeDocument/2006/relationships/hyperlink" Target="#ACFDMVCFinProdInput"/><Relationship Id="rId57" Type="http://schemas.openxmlformats.org/officeDocument/2006/relationships/hyperlink" Target="#ACFDMFCMiscInput"/><Relationship Id="rId10" Type="http://schemas.openxmlformats.org/officeDocument/2006/relationships/hyperlink" Target="#ACFVesLeaseInput"/><Relationship Id="rId31" Type="http://schemas.openxmlformats.org/officeDocument/2006/relationships/hyperlink" Target="#ACFFCProfInput"/><Relationship Id="rId44" Type="http://schemas.openxmlformats.org/officeDocument/2006/relationships/hyperlink" Target="#ACFDMVCPackInput"/><Relationship Id="rId52" Type="http://schemas.openxmlformats.org/officeDocument/2006/relationships/hyperlink" Target="#ACFDMFCRentInput"/><Relationship Id="rId60" Type="http://schemas.openxmlformats.org/officeDocument/2006/relationships/hyperlink" Target="#ACFDMSaleShoreInput"/><Relationship Id="rId65" Type="http://schemas.openxmlformats.org/officeDocument/2006/relationships/hyperlink" Target="#ACFPFoodInput"/><Relationship Id="rId73" Type="http://schemas.openxmlformats.org/officeDocument/2006/relationships/hyperlink" Target="#ACFPIncTaxInput"/><Relationship Id="rId78" Type="http://schemas.openxmlformats.org/officeDocument/2006/relationships/hyperlink" Target="#ACFDMNewCredInput"/><Relationship Id="rId81" Type="http://schemas.openxmlformats.org/officeDocument/2006/relationships/hyperlink" Target="#ACFPGiftsInput"/><Relationship Id="rId86" Type="http://schemas.openxmlformats.org/officeDocument/2006/relationships/hyperlink" Target="#ACFPChildSupInput"/><Relationship Id="rId94" Type="http://schemas.openxmlformats.org/officeDocument/2006/relationships/hyperlink" Target="#ACFDMSaleShoreBSValInput"/><Relationship Id="rId4" Type="http://schemas.openxmlformats.org/officeDocument/2006/relationships/hyperlink" Target="#ProjTime"/><Relationship Id="rId9" Type="http://schemas.openxmlformats.org/officeDocument/2006/relationships/image" Target="../media/image14.png"/><Relationship Id="rId13" Type="http://schemas.openxmlformats.org/officeDocument/2006/relationships/hyperlink" Target="#ACFCrewEarnedInput"/><Relationship Id="rId18" Type="http://schemas.openxmlformats.org/officeDocument/2006/relationships/hyperlink" Target="#ACFVCFuelInput"/><Relationship Id="rId39" Type="http://schemas.openxmlformats.org/officeDocument/2006/relationships/hyperlink" Target="#ACFDMEtcInput"/></Relationships>
</file>

<file path=xl/drawings/_rels/drawing9.xml.rels><?xml version="1.0" encoding="UTF-8" standalone="yes"?>
<Relationships xmlns="http://schemas.openxmlformats.org/package/2006/relationships"><Relationship Id="rId2" Type="http://schemas.openxmlformats.org/officeDocument/2006/relationships/image" Target="../media/image16.jpg"/><Relationship Id="rId1" Type="http://schemas.openxmlformats.org/officeDocument/2006/relationships/image" Target="../media/image15.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2.emf"/></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6</xdr:row>
      <xdr:rowOff>152401</xdr:rowOff>
    </xdr:from>
    <xdr:to>
      <xdr:col>5</xdr:col>
      <xdr:colOff>104775</xdr:colOff>
      <xdr:row>20</xdr:row>
      <xdr:rowOff>28575</xdr:rowOff>
    </xdr:to>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 y="1123951"/>
          <a:ext cx="2619374" cy="2619374"/>
        </a:xfrm>
        <a:prstGeom prst="rect">
          <a:avLst/>
        </a:prstGeom>
      </xdr:spPr>
    </xdr:pic>
    <xdr:clientData/>
  </xdr:twoCellAnchor>
  <xdr:twoCellAnchor>
    <xdr:from>
      <xdr:col>12</xdr:col>
      <xdr:colOff>57149</xdr:colOff>
      <xdr:row>7</xdr:row>
      <xdr:rowOff>0</xdr:rowOff>
    </xdr:from>
    <xdr:to>
      <xdr:col>15</xdr:col>
      <xdr:colOff>331469</xdr:colOff>
      <xdr:row>10</xdr:row>
      <xdr:rowOff>78105</xdr:rowOff>
    </xdr:to>
    <xdr:sp macro="[0]!PrintBS_Final" textlink="">
      <xdr:nvSpPr>
        <xdr:cNvPr id="6" name="Rectangle 5">
          <a:hlinkClick xmlns:r="http://schemas.openxmlformats.org/officeDocument/2006/relationships" r:id="rId2" tooltip="Go to Balance Sheet Data Entry"/>
        </xdr:cNvPr>
        <xdr:cNvSpPr/>
      </xdr:nvSpPr>
      <xdr:spPr>
        <a:xfrm>
          <a:off x="7800974" y="161925"/>
          <a:ext cx="2103120" cy="640080"/>
        </a:xfrm>
        <a:prstGeom prst="rect">
          <a:avLst/>
        </a:prstGeom>
        <a:solidFill>
          <a:srgbClr val="00B1B0"/>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ln>
                <a:noFill/>
              </a:ln>
            </a:rPr>
            <a:t>Go</a:t>
          </a:r>
          <a:r>
            <a:rPr lang="en-US" sz="1400" b="1" baseline="0">
              <a:ln>
                <a:noFill/>
              </a:ln>
            </a:rPr>
            <a:t> to </a:t>
          </a:r>
          <a:r>
            <a:rPr lang="en-US" sz="1400" b="1">
              <a:ln>
                <a:noFill/>
              </a:ln>
            </a:rPr>
            <a:t>Balance </a:t>
          </a:r>
        </a:p>
        <a:p>
          <a:pPr algn="ctr"/>
          <a:r>
            <a:rPr lang="en-US" sz="1400" b="1">
              <a:ln>
                <a:noFill/>
              </a:ln>
            </a:rPr>
            <a:t>Sheet Entry</a:t>
          </a:r>
        </a:p>
      </xdr:txBody>
    </xdr:sp>
    <xdr:clientData/>
  </xdr:twoCellAnchor>
  <xdr:twoCellAnchor>
    <xdr:from>
      <xdr:col>12</xdr:col>
      <xdr:colOff>57149</xdr:colOff>
      <xdr:row>10</xdr:row>
      <xdr:rowOff>152400</xdr:rowOff>
    </xdr:from>
    <xdr:to>
      <xdr:col>15</xdr:col>
      <xdr:colOff>331469</xdr:colOff>
      <xdr:row>13</xdr:row>
      <xdr:rowOff>192405</xdr:rowOff>
    </xdr:to>
    <xdr:sp macro="[0]!PrintBS_Final" textlink="">
      <xdr:nvSpPr>
        <xdr:cNvPr id="8" name="Rectangle 7">
          <a:hlinkClick xmlns:r="http://schemas.openxmlformats.org/officeDocument/2006/relationships" r:id="rId3" tooltip="Go to Printable Balance Sheet"/>
        </xdr:cNvPr>
        <xdr:cNvSpPr/>
      </xdr:nvSpPr>
      <xdr:spPr>
        <a:xfrm>
          <a:off x="7800974" y="876300"/>
          <a:ext cx="2103120" cy="640080"/>
        </a:xfrm>
        <a:prstGeom prst="rect">
          <a:avLst/>
        </a:prstGeom>
        <a:solidFill>
          <a:srgbClr val="00B1B0"/>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t>Go</a:t>
          </a:r>
          <a:r>
            <a:rPr lang="en-US" sz="1400" b="1" baseline="0"/>
            <a:t> to </a:t>
          </a:r>
          <a:r>
            <a:rPr lang="en-US" sz="1400" b="1"/>
            <a:t>Final</a:t>
          </a:r>
        </a:p>
        <a:p>
          <a:pPr algn="ctr"/>
          <a:r>
            <a:rPr lang="en-US" sz="1400" b="1"/>
            <a:t>Balance Sheet</a:t>
          </a:r>
        </a:p>
      </xdr:txBody>
    </xdr:sp>
    <xdr:clientData/>
  </xdr:twoCellAnchor>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11</xdr:col>
          <xdr:colOff>19050</xdr:colOff>
          <xdr:row>19</xdr:row>
          <xdr:rowOff>9525</xdr:rowOff>
        </xdr:to>
        <xdr:sp macro="" textlink="">
          <xdr:nvSpPr>
            <xdr:cNvPr id="1027" name="Drop Down 3" hidden="1">
              <a:extLst>
                <a:ext uri="{63B3BB69-23CF-44E3-9099-C40C66FF867C}">
                  <a14:compatExt spid="_x0000_s10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20</xdr:row>
          <xdr:rowOff>9525</xdr:rowOff>
        </xdr:from>
        <xdr:to>
          <xdr:col>10</xdr:col>
          <xdr:colOff>2057400</xdr:colOff>
          <xdr:row>21</xdr:row>
          <xdr:rowOff>0</xdr:rowOff>
        </xdr:to>
        <xdr:sp macro="" textlink="">
          <xdr:nvSpPr>
            <xdr:cNvPr id="1028" name="Drop Down 4" hidden="1">
              <a:extLst>
                <a:ext uri="{63B3BB69-23CF-44E3-9099-C40C66FF867C}">
                  <a14:compatExt spid="_x0000_s1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23</xdr:row>
          <xdr:rowOff>0</xdr:rowOff>
        </xdr:from>
        <xdr:to>
          <xdr:col>11</xdr:col>
          <xdr:colOff>0</xdr:colOff>
          <xdr:row>24</xdr:row>
          <xdr:rowOff>0</xdr:rowOff>
        </xdr:to>
        <xdr:sp macro="" textlink="">
          <xdr:nvSpPr>
            <xdr:cNvPr id="1030" name="Drop Down 6" hidden="1">
              <a:extLst>
                <a:ext uri="{63B3BB69-23CF-44E3-9099-C40C66FF867C}">
                  <a14:compatExt spid="_x0000_s10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xdr:twoCellAnchor>
    <xdr:from>
      <xdr:col>12</xdr:col>
      <xdr:colOff>57149</xdr:colOff>
      <xdr:row>20</xdr:row>
      <xdr:rowOff>0</xdr:rowOff>
    </xdr:from>
    <xdr:to>
      <xdr:col>15</xdr:col>
      <xdr:colOff>331469</xdr:colOff>
      <xdr:row>22</xdr:row>
      <xdr:rowOff>144780</xdr:rowOff>
    </xdr:to>
    <xdr:sp macro="[0]!PrintBS_Final" textlink="">
      <xdr:nvSpPr>
        <xdr:cNvPr id="9" name="Rectangle 8">
          <a:hlinkClick xmlns:r="http://schemas.openxmlformats.org/officeDocument/2006/relationships" r:id="rId4" tooltip="Go to Income Statement &amp; Cash Flow Plan"/>
        </xdr:cNvPr>
        <xdr:cNvSpPr/>
      </xdr:nvSpPr>
      <xdr:spPr>
        <a:xfrm>
          <a:off x="7800974" y="2743200"/>
          <a:ext cx="2103120" cy="640080"/>
        </a:xfrm>
        <a:prstGeom prst="rect">
          <a:avLst/>
        </a:prstGeom>
        <a:solidFill>
          <a:srgbClr val="FEBF24"/>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t>Go</a:t>
          </a:r>
          <a:r>
            <a:rPr lang="en-US" sz="1400" b="1" baseline="0"/>
            <a:t> to Income Statement &amp; Annual Cash Flow Plan</a:t>
          </a:r>
          <a:endParaRPr lang="en-US" sz="1400" b="1"/>
        </a:p>
      </xdr:txBody>
    </xdr:sp>
    <xdr:clientData/>
  </xdr:twoCellAnchor>
  <xdr:twoCellAnchor>
    <xdr:from>
      <xdr:col>0</xdr:col>
      <xdr:colOff>85724</xdr:colOff>
      <xdr:row>0</xdr:row>
      <xdr:rowOff>9527</xdr:rowOff>
    </xdr:from>
    <xdr:to>
      <xdr:col>15</xdr:col>
      <xdr:colOff>238125</xdr:colOff>
      <xdr:row>6</xdr:row>
      <xdr:rowOff>104775</xdr:rowOff>
    </xdr:to>
    <xdr:sp macro="" textlink="">
      <xdr:nvSpPr>
        <xdr:cNvPr id="14" name="Rectangle 13"/>
        <xdr:cNvSpPr/>
      </xdr:nvSpPr>
      <xdr:spPr>
        <a:xfrm>
          <a:off x="85724" y="9527"/>
          <a:ext cx="8705851" cy="1066798"/>
        </a:xfrm>
        <a:prstGeom prst="rect">
          <a:avLst/>
        </a:prstGeom>
        <a:solidFill>
          <a:srgbClr val="F37321"/>
        </a:solidFill>
        <a:ln w="12700">
          <a:solidFill>
            <a:sysClr val="windowText" lastClr="000000"/>
          </a:solid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ctr"/>
          <a:r>
            <a:rPr lang="en-US" sz="1400" b="1"/>
            <a:t>Be sure to enable macros for this spreadsheet to work properly!</a:t>
          </a:r>
          <a:endParaRPr lang="en-US" sz="800" b="1"/>
        </a:p>
        <a:p>
          <a:pPr algn="ctr"/>
          <a:r>
            <a:rPr lang="en-US" sz="1400" b="1"/>
            <a:t>To do this when the spreadsheet</a:t>
          </a:r>
          <a:r>
            <a:rPr lang="en-US" sz="1400" b="1" baseline="0"/>
            <a:t> opens look for:</a:t>
          </a:r>
        </a:p>
        <a:p>
          <a:pPr algn="ctr"/>
          <a:endParaRPr lang="en-US" sz="900" b="1"/>
        </a:p>
        <a:p>
          <a:pPr algn="ctr"/>
          <a:endParaRPr lang="en-US" sz="800" b="1"/>
        </a:p>
        <a:p>
          <a:pPr algn="ctr"/>
          <a:r>
            <a:rPr lang="en-US" sz="1400" b="1"/>
            <a:t>And click "Enable Content"</a:t>
          </a:r>
        </a:p>
      </xdr:txBody>
    </xdr:sp>
    <xdr:clientData/>
  </xdr:twoCellAnchor>
  <xdr:twoCellAnchor editAs="oneCell">
    <xdr:from>
      <xdr:col>4</xdr:col>
      <xdr:colOff>171450</xdr:colOff>
      <xdr:row>3</xdr:row>
      <xdr:rowOff>19050</xdr:rowOff>
    </xdr:from>
    <xdr:to>
      <xdr:col>11</xdr:col>
      <xdr:colOff>142315</xdr:colOff>
      <xdr:row>4</xdr:row>
      <xdr:rowOff>133315</xdr:rowOff>
    </xdr:to>
    <xdr:pic>
      <xdr:nvPicPr>
        <xdr:cNvPr id="15" name="Picture 14"/>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238375" y="504825"/>
          <a:ext cx="4476190" cy="276190"/>
        </a:xfrm>
        <a:prstGeom prst="rect">
          <a:avLst/>
        </a:prstGeom>
      </xdr:spPr>
    </xdr:pic>
    <xdr:clientData/>
  </xdr:twoCellAnchor>
  <xdr:twoCellAnchor>
    <xdr:from>
      <xdr:col>10</xdr:col>
      <xdr:colOff>790575</xdr:colOff>
      <xdr:row>3</xdr:row>
      <xdr:rowOff>38101</xdr:rowOff>
    </xdr:from>
    <xdr:to>
      <xdr:col>10</xdr:col>
      <xdr:colOff>2047875</xdr:colOff>
      <xdr:row>4</xdr:row>
      <xdr:rowOff>142876</xdr:rowOff>
    </xdr:to>
    <xdr:sp macro="" textlink="">
      <xdr:nvSpPr>
        <xdr:cNvPr id="16" name="Oval 15"/>
        <xdr:cNvSpPr/>
      </xdr:nvSpPr>
      <xdr:spPr>
        <a:xfrm>
          <a:off x="5295900" y="523876"/>
          <a:ext cx="1257300" cy="266700"/>
        </a:xfrm>
        <a:prstGeom prst="ellipse">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66675</xdr:colOff>
      <xdr:row>14</xdr:row>
      <xdr:rowOff>161924</xdr:rowOff>
    </xdr:from>
    <xdr:to>
      <xdr:col>15</xdr:col>
      <xdr:colOff>340995</xdr:colOff>
      <xdr:row>18</xdr:row>
      <xdr:rowOff>209549</xdr:rowOff>
    </xdr:to>
    <xdr:sp macro="[0]!PrintBS_Final" textlink="">
      <xdr:nvSpPr>
        <xdr:cNvPr id="18" name="Rectangle 17">
          <a:hlinkClick xmlns:r="http://schemas.openxmlformats.org/officeDocument/2006/relationships" r:id="rId6" tooltip="Go to Online Help Video"/>
        </xdr:cNvPr>
        <xdr:cNvSpPr/>
      </xdr:nvSpPr>
      <xdr:spPr>
        <a:xfrm>
          <a:off x="6791325" y="2657474"/>
          <a:ext cx="2103120" cy="771525"/>
        </a:xfrm>
        <a:prstGeom prst="rect">
          <a:avLst/>
        </a:prstGeom>
        <a:solidFill>
          <a:srgbClr val="F37321"/>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t>View the</a:t>
          </a:r>
          <a:r>
            <a:rPr lang="en-US" sz="1400" b="1" baseline="0"/>
            <a:t> "Getting Started" help video </a:t>
          </a:r>
        </a:p>
        <a:p>
          <a:pPr algn="ctr"/>
          <a:r>
            <a:rPr lang="en-US" sz="1400" b="1" baseline="0"/>
            <a:t>(opens browser)</a:t>
          </a:r>
          <a:endParaRPr lang="en-US" sz="1400" b="1"/>
        </a:p>
      </xdr:txBody>
    </xdr:sp>
    <xdr:clientData/>
  </xdr:twoCellAnchor>
  <xdr:twoCellAnchor editAs="oneCell">
    <xdr:from>
      <xdr:col>16</xdr:col>
      <xdr:colOff>123825</xdr:colOff>
      <xdr:row>9</xdr:row>
      <xdr:rowOff>66675</xdr:rowOff>
    </xdr:from>
    <xdr:to>
      <xdr:col>20</xdr:col>
      <xdr:colOff>304800</xdr:colOff>
      <xdr:row>22</xdr:row>
      <xdr:rowOff>3239</xdr:rowOff>
    </xdr:to>
    <xdr:pic>
      <xdr:nvPicPr>
        <xdr:cNvPr id="2" name="Picture 1">
          <a:hlinkClick xmlns:r="http://schemas.openxmlformats.org/officeDocument/2006/relationships" r:id="rId7"/>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9286875" y="1562100"/>
          <a:ext cx="2619375" cy="265118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19050</xdr:colOff>
      <xdr:row>1</xdr:row>
      <xdr:rowOff>19050</xdr:rowOff>
    </xdr:from>
    <xdr:to>
      <xdr:col>11</xdr:col>
      <xdr:colOff>9525</xdr:colOff>
      <xdr:row>4</xdr:row>
      <xdr:rowOff>66675</xdr:rowOff>
    </xdr:to>
    <xdr:sp macro="[0]!PrintBS_Final" textlink="">
      <xdr:nvSpPr>
        <xdr:cNvPr id="2" name="Rectangle 1">
          <a:hlinkClick xmlns:r="http://schemas.openxmlformats.org/officeDocument/2006/relationships" r:id="rId1" tooltip="Go to Balance Sheet Data Entry"/>
        </xdr:cNvPr>
        <xdr:cNvSpPr/>
      </xdr:nvSpPr>
      <xdr:spPr>
        <a:xfrm>
          <a:off x="7372350" y="180975"/>
          <a:ext cx="1590675" cy="609600"/>
        </a:xfrm>
        <a:prstGeom prst="rect">
          <a:avLst/>
        </a:prstGeom>
        <a:solidFill>
          <a:srgbClr val="00B1B0"/>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t>Go</a:t>
          </a:r>
          <a:r>
            <a:rPr lang="en-US" sz="1400" b="1" baseline="0"/>
            <a:t> to </a:t>
          </a:r>
          <a:r>
            <a:rPr lang="en-US" sz="1400" b="1"/>
            <a:t>Balance Sheet Entry</a:t>
          </a:r>
        </a:p>
      </xdr:txBody>
    </xdr:sp>
    <xdr:clientData/>
  </xdr:twoCellAnchor>
  <xdr:twoCellAnchor editAs="oneCell">
    <xdr:from>
      <xdr:col>1</xdr:col>
      <xdr:colOff>28575</xdr:colOff>
      <xdr:row>0</xdr:row>
      <xdr:rowOff>0</xdr:rowOff>
    </xdr:from>
    <xdr:to>
      <xdr:col>1</xdr:col>
      <xdr:colOff>742951</xdr:colOff>
      <xdr:row>3</xdr:row>
      <xdr:rowOff>180975</xdr:rowOff>
    </xdr:to>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38175" y="0"/>
          <a:ext cx="714376" cy="714375"/>
        </a:xfrm>
        <a:prstGeom prst="rect">
          <a:avLst/>
        </a:prstGeom>
      </xdr:spPr>
    </xdr:pic>
    <xdr:clientData/>
  </xdr:twoCellAnchor>
  <xdr:twoCellAnchor>
    <xdr:from>
      <xdr:col>8</xdr:col>
      <xdr:colOff>19050</xdr:colOff>
      <xdr:row>11</xdr:row>
      <xdr:rowOff>9525</xdr:rowOff>
    </xdr:from>
    <xdr:to>
      <xdr:col>11</xdr:col>
      <xdr:colOff>9525</xdr:colOff>
      <xdr:row>14</xdr:row>
      <xdr:rowOff>76200</xdr:rowOff>
    </xdr:to>
    <xdr:sp macro="[0]!PrintBS_Final" textlink="">
      <xdr:nvSpPr>
        <xdr:cNvPr id="4" name="Rectangle 3">
          <a:hlinkClick xmlns:r="http://schemas.openxmlformats.org/officeDocument/2006/relationships" r:id="rId3" tooltip="Go to Income Statement &amp; Cash Flow Plan"/>
        </xdr:cNvPr>
        <xdr:cNvSpPr/>
      </xdr:nvSpPr>
      <xdr:spPr>
        <a:xfrm>
          <a:off x="7372350" y="1847850"/>
          <a:ext cx="1590675" cy="552450"/>
        </a:xfrm>
        <a:prstGeom prst="rect">
          <a:avLst/>
        </a:prstGeom>
        <a:solidFill>
          <a:srgbClr val="FEBF24"/>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t>Go</a:t>
          </a:r>
          <a:r>
            <a:rPr lang="en-US" sz="1400" b="1" baseline="0"/>
            <a:t> to </a:t>
          </a:r>
          <a:r>
            <a:rPr lang="en-US" sz="1400" b="1"/>
            <a:t>Annual Cash Flow Plan</a:t>
          </a:r>
        </a:p>
      </xdr:txBody>
    </xdr:sp>
    <xdr:clientData/>
  </xdr:twoCellAnchor>
  <xdr:twoCellAnchor editAs="oneCell">
    <xdr:from>
      <xdr:col>8</xdr:col>
      <xdr:colOff>28575</xdr:colOff>
      <xdr:row>15</xdr:row>
      <xdr:rowOff>66675</xdr:rowOff>
    </xdr:from>
    <xdr:to>
      <xdr:col>11</xdr:col>
      <xdr:colOff>19431</xdr:colOff>
      <xdr:row>19</xdr:row>
      <xdr:rowOff>53340</xdr:rowOff>
    </xdr:to>
    <xdr:sp macro="[0]!PrintBS_Final" textlink="">
      <xdr:nvSpPr>
        <xdr:cNvPr id="5" name="Rectangle 4">
          <a:hlinkClick xmlns:r="http://schemas.openxmlformats.org/officeDocument/2006/relationships" r:id="rId4" tooltip="Go to General Info"/>
        </xdr:cNvPr>
        <xdr:cNvSpPr/>
      </xdr:nvSpPr>
      <xdr:spPr>
        <a:xfrm>
          <a:off x="7381875" y="2581275"/>
          <a:ext cx="1591056" cy="548640"/>
        </a:xfrm>
        <a:prstGeom prst="rect">
          <a:avLst/>
        </a:prstGeom>
        <a:solidFill>
          <a:srgbClr val="F37321"/>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t>Go</a:t>
          </a:r>
          <a:r>
            <a:rPr lang="en-US" sz="1400" b="1" baseline="0"/>
            <a:t> to Gen Info</a:t>
          </a:r>
          <a:endParaRPr lang="en-US" sz="1400" b="1"/>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4</xdr:col>
      <xdr:colOff>419100</xdr:colOff>
      <xdr:row>1</xdr:row>
      <xdr:rowOff>28575</xdr:rowOff>
    </xdr:from>
    <xdr:to>
      <xdr:col>6</xdr:col>
      <xdr:colOff>495300</xdr:colOff>
      <xdr:row>4</xdr:row>
      <xdr:rowOff>152400</xdr:rowOff>
    </xdr:to>
    <xdr:sp macro="[0]!PrintBS_Final" textlink="">
      <xdr:nvSpPr>
        <xdr:cNvPr id="3" name="Rectangle 2">
          <a:hlinkClick xmlns:r="http://schemas.openxmlformats.org/officeDocument/2006/relationships" r:id="rId1" tooltip="Go to Printable Balance Sheet"/>
        </xdr:cNvPr>
        <xdr:cNvSpPr/>
      </xdr:nvSpPr>
      <xdr:spPr>
        <a:xfrm>
          <a:off x="6343650" y="266700"/>
          <a:ext cx="1590675" cy="552450"/>
        </a:xfrm>
        <a:prstGeom prst="rect">
          <a:avLst/>
        </a:prstGeom>
        <a:solidFill>
          <a:srgbClr val="00B1B0"/>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t>Go</a:t>
          </a:r>
          <a:r>
            <a:rPr lang="en-US" sz="1400" b="1" baseline="0"/>
            <a:t> to Final </a:t>
          </a:r>
          <a:r>
            <a:rPr lang="en-US" sz="1400" b="1"/>
            <a:t>Balance Sheet</a:t>
          </a:r>
        </a:p>
      </xdr:txBody>
    </xdr:sp>
    <xdr:clientData/>
  </xdr:twoCellAnchor>
  <xdr:twoCellAnchor editAs="oneCell">
    <xdr:from>
      <xdr:col>4</xdr:col>
      <xdr:colOff>194583</xdr:colOff>
      <xdr:row>6</xdr:row>
      <xdr:rowOff>2722</xdr:rowOff>
    </xdr:from>
    <xdr:to>
      <xdr:col>4</xdr:col>
      <xdr:colOff>377463</xdr:colOff>
      <xdr:row>6</xdr:row>
      <xdr:rowOff>185602</xdr:rowOff>
    </xdr:to>
    <xdr:pic>
      <xdr:nvPicPr>
        <xdr:cNvPr id="4" name="Picture 3">
          <a:hlinkClick xmlns:r="http://schemas.openxmlformats.org/officeDocument/2006/relationships" r:id="rId2"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1098097"/>
          <a:ext cx="182880" cy="182880"/>
        </a:xfrm>
        <a:prstGeom prst="rect">
          <a:avLst/>
        </a:prstGeom>
      </xdr:spPr>
    </xdr:pic>
    <xdr:clientData/>
  </xdr:twoCellAnchor>
  <xdr:twoCellAnchor editAs="oneCell">
    <xdr:from>
      <xdr:col>4</xdr:col>
      <xdr:colOff>194583</xdr:colOff>
      <xdr:row>69</xdr:row>
      <xdr:rowOff>0</xdr:rowOff>
    </xdr:from>
    <xdr:to>
      <xdr:col>4</xdr:col>
      <xdr:colOff>377463</xdr:colOff>
      <xdr:row>69</xdr:row>
      <xdr:rowOff>182880</xdr:rowOff>
    </xdr:to>
    <xdr:pic>
      <xdr:nvPicPr>
        <xdr:cNvPr id="7" name="Picture 6">
          <a:hlinkClick xmlns:r="http://schemas.openxmlformats.org/officeDocument/2006/relationships" r:id="rId4"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12515850"/>
          <a:ext cx="182880" cy="182880"/>
        </a:xfrm>
        <a:prstGeom prst="rect">
          <a:avLst/>
        </a:prstGeom>
      </xdr:spPr>
    </xdr:pic>
    <xdr:clientData/>
  </xdr:twoCellAnchor>
  <xdr:twoCellAnchor editAs="oneCell">
    <xdr:from>
      <xdr:col>4</xdr:col>
      <xdr:colOff>194583</xdr:colOff>
      <xdr:row>66</xdr:row>
      <xdr:rowOff>0</xdr:rowOff>
    </xdr:from>
    <xdr:to>
      <xdr:col>4</xdr:col>
      <xdr:colOff>377463</xdr:colOff>
      <xdr:row>66</xdr:row>
      <xdr:rowOff>182880</xdr:rowOff>
    </xdr:to>
    <xdr:pic>
      <xdr:nvPicPr>
        <xdr:cNvPr id="6" name="Picture 5">
          <a:hlinkClick xmlns:r="http://schemas.openxmlformats.org/officeDocument/2006/relationships" r:id="rId5"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11944350"/>
          <a:ext cx="182880" cy="182880"/>
        </a:xfrm>
        <a:prstGeom prst="rect">
          <a:avLst/>
        </a:prstGeom>
      </xdr:spPr>
    </xdr:pic>
    <xdr:clientData/>
  </xdr:twoCellAnchor>
  <xdr:twoCellAnchor editAs="oneCell">
    <xdr:from>
      <xdr:col>4</xdr:col>
      <xdr:colOff>194583</xdr:colOff>
      <xdr:row>36</xdr:row>
      <xdr:rowOff>0</xdr:rowOff>
    </xdr:from>
    <xdr:to>
      <xdr:col>4</xdr:col>
      <xdr:colOff>377463</xdr:colOff>
      <xdr:row>36</xdr:row>
      <xdr:rowOff>182880</xdr:rowOff>
    </xdr:to>
    <xdr:pic>
      <xdr:nvPicPr>
        <xdr:cNvPr id="9" name="Picture 8">
          <a:hlinkClick xmlns:r="http://schemas.openxmlformats.org/officeDocument/2006/relationships" r:id="rId6"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6743700"/>
          <a:ext cx="182880" cy="182880"/>
        </a:xfrm>
        <a:prstGeom prst="rect">
          <a:avLst/>
        </a:prstGeom>
      </xdr:spPr>
    </xdr:pic>
    <xdr:clientData/>
  </xdr:twoCellAnchor>
  <xdr:twoCellAnchor editAs="oneCell">
    <xdr:from>
      <xdr:col>4</xdr:col>
      <xdr:colOff>194583</xdr:colOff>
      <xdr:row>35</xdr:row>
      <xdr:rowOff>0</xdr:rowOff>
    </xdr:from>
    <xdr:to>
      <xdr:col>4</xdr:col>
      <xdr:colOff>377463</xdr:colOff>
      <xdr:row>35</xdr:row>
      <xdr:rowOff>182880</xdr:rowOff>
    </xdr:to>
    <xdr:pic>
      <xdr:nvPicPr>
        <xdr:cNvPr id="10" name="Picture 9">
          <a:hlinkClick xmlns:r="http://schemas.openxmlformats.org/officeDocument/2006/relationships" r:id="rId7"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6553200"/>
          <a:ext cx="182880" cy="182880"/>
        </a:xfrm>
        <a:prstGeom prst="rect">
          <a:avLst/>
        </a:prstGeom>
      </xdr:spPr>
    </xdr:pic>
    <xdr:clientData/>
  </xdr:twoCellAnchor>
  <xdr:twoCellAnchor editAs="oneCell">
    <xdr:from>
      <xdr:col>4</xdr:col>
      <xdr:colOff>194583</xdr:colOff>
      <xdr:row>34</xdr:row>
      <xdr:rowOff>0</xdr:rowOff>
    </xdr:from>
    <xdr:to>
      <xdr:col>4</xdr:col>
      <xdr:colOff>377463</xdr:colOff>
      <xdr:row>34</xdr:row>
      <xdr:rowOff>182880</xdr:rowOff>
    </xdr:to>
    <xdr:pic>
      <xdr:nvPicPr>
        <xdr:cNvPr id="11" name="Picture 10">
          <a:hlinkClick xmlns:r="http://schemas.openxmlformats.org/officeDocument/2006/relationships" r:id="rId8"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6362700"/>
          <a:ext cx="182880" cy="182880"/>
        </a:xfrm>
        <a:prstGeom prst="rect">
          <a:avLst/>
        </a:prstGeom>
      </xdr:spPr>
    </xdr:pic>
    <xdr:clientData/>
  </xdr:twoCellAnchor>
  <xdr:twoCellAnchor editAs="oneCell">
    <xdr:from>
      <xdr:col>4</xdr:col>
      <xdr:colOff>194583</xdr:colOff>
      <xdr:row>33</xdr:row>
      <xdr:rowOff>0</xdr:rowOff>
    </xdr:from>
    <xdr:to>
      <xdr:col>4</xdr:col>
      <xdr:colOff>377463</xdr:colOff>
      <xdr:row>33</xdr:row>
      <xdr:rowOff>182880</xdr:rowOff>
    </xdr:to>
    <xdr:pic>
      <xdr:nvPicPr>
        <xdr:cNvPr id="12" name="Picture 11">
          <a:hlinkClick xmlns:r="http://schemas.openxmlformats.org/officeDocument/2006/relationships" r:id="rId9"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6172200"/>
          <a:ext cx="182880" cy="182880"/>
        </a:xfrm>
        <a:prstGeom prst="rect">
          <a:avLst/>
        </a:prstGeom>
      </xdr:spPr>
    </xdr:pic>
    <xdr:clientData/>
  </xdr:twoCellAnchor>
  <xdr:twoCellAnchor editAs="oneCell">
    <xdr:from>
      <xdr:col>4</xdr:col>
      <xdr:colOff>194583</xdr:colOff>
      <xdr:row>7</xdr:row>
      <xdr:rowOff>0</xdr:rowOff>
    </xdr:from>
    <xdr:to>
      <xdr:col>4</xdr:col>
      <xdr:colOff>377463</xdr:colOff>
      <xdr:row>7</xdr:row>
      <xdr:rowOff>182880</xdr:rowOff>
    </xdr:to>
    <xdr:pic>
      <xdr:nvPicPr>
        <xdr:cNvPr id="13" name="Picture 12">
          <a:hlinkClick xmlns:r="http://schemas.openxmlformats.org/officeDocument/2006/relationships" r:id="rId10"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1285875"/>
          <a:ext cx="182880" cy="182880"/>
        </a:xfrm>
        <a:prstGeom prst="rect">
          <a:avLst/>
        </a:prstGeom>
      </xdr:spPr>
    </xdr:pic>
    <xdr:clientData/>
  </xdr:twoCellAnchor>
  <xdr:twoCellAnchor editAs="oneCell">
    <xdr:from>
      <xdr:col>4</xdr:col>
      <xdr:colOff>194583</xdr:colOff>
      <xdr:row>8</xdr:row>
      <xdr:rowOff>0</xdr:rowOff>
    </xdr:from>
    <xdr:to>
      <xdr:col>4</xdr:col>
      <xdr:colOff>377463</xdr:colOff>
      <xdr:row>8</xdr:row>
      <xdr:rowOff>182880</xdr:rowOff>
    </xdr:to>
    <xdr:pic>
      <xdr:nvPicPr>
        <xdr:cNvPr id="14" name="Picture 13">
          <a:hlinkClick xmlns:r="http://schemas.openxmlformats.org/officeDocument/2006/relationships" r:id="rId11"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1476375"/>
          <a:ext cx="182880" cy="182880"/>
        </a:xfrm>
        <a:prstGeom prst="rect">
          <a:avLst/>
        </a:prstGeom>
      </xdr:spPr>
    </xdr:pic>
    <xdr:clientData/>
  </xdr:twoCellAnchor>
  <xdr:twoCellAnchor editAs="oneCell">
    <xdr:from>
      <xdr:col>4</xdr:col>
      <xdr:colOff>194583</xdr:colOff>
      <xdr:row>9</xdr:row>
      <xdr:rowOff>0</xdr:rowOff>
    </xdr:from>
    <xdr:to>
      <xdr:col>4</xdr:col>
      <xdr:colOff>377463</xdr:colOff>
      <xdr:row>9</xdr:row>
      <xdr:rowOff>182880</xdr:rowOff>
    </xdr:to>
    <xdr:pic>
      <xdr:nvPicPr>
        <xdr:cNvPr id="15" name="Picture 14">
          <a:hlinkClick xmlns:r="http://schemas.openxmlformats.org/officeDocument/2006/relationships" r:id="rId12"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1666875"/>
          <a:ext cx="182880" cy="182880"/>
        </a:xfrm>
        <a:prstGeom prst="rect">
          <a:avLst/>
        </a:prstGeom>
      </xdr:spPr>
    </xdr:pic>
    <xdr:clientData/>
  </xdr:twoCellAnchor>
  <xdr:twoCellAnchor editAs="oneCell">
    <xdr:from>
      <xdr:col>4</xdr:col>
      <xdr:colOff>194583</xdr:colOff>
      <xdr:row>10</xdr:row>
      <xdr:rowOff>0</xdr:rowOff>
    </xdr:from>
    <xdr:to>
      <xdr:col>4</xdr:col>
      <xdr:colOff>377463</xdr:colOff>
      <xdr:row>10</xdr:row>
      <xdr:rowOff>182880</xdr:rowOff>
    </xdr:to>
    <xdr:pic>
      <xdr:nvPicPr>
        <xdr:cNvPr id="16" name="Picture 15">
          <a:hlinkClick xmlns:r="http://schemas.openxmlformats.org/officeDocument/2006/relationships" r:id="rId13"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1857375"/>
          <a:ext cx="182880" cy="182880"/>
        </a:xfrm>
        <a:prstGeom prst="rect">
          <a:avLst/>
        </a:prstGeom>
      </xdr:spPr>
    </xdr:pic>
    <xdr:clientData/>
  </xdr:twoCellAnchor>
  <xdr:twoCellAnchor editAs="oneCell">
    <xdr:from>
      <xdr:col>4</xdr:col>
      <xdr:colOff>194583</xdr:colOff>
      <xdr:row>11</xdr:row>
      <xdr:rowOff>0</xdr:rowOff>
    </xdr:from>
    <xdr:to>
      <xdr:col>4</xdr:col>
      <xdr:colOff>377463</xdr:colOff>
      <xdr:row>11</xdr:row>
      <xdr:rowOff>182880</xdr:rowOff>
    </xdr:to>
    <xdr:pic>
      <xdr:nvPicPr>
        <xdr:cNvPr id="17" name="Picture 16">
          <a:hlinkClick xmlns:r="http://schemas.openxmlformats.org/officeDocument/2006/relationships" r:id="rId14"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2047875"/>
          <a:ext cx="182880" cy="182880"/>
        </a:xfrm>
        <a:prstGeom prst="rect">
          <a:avLst/>
        </a:prstGeom>
      </xdr:spPr>
    </xdr:pic>
    <xdr:clientData/>
  </xdr:twoCellAnchor>
  <xdr:twoCellAnchor editAs="oneCell">
    <xdr:from>
      <xdr:col>4</xdr:col>
      <xdr:colOff>194583</xdr:colOff>
      <xdr:row>14</xdr:row>
      <xdr:rowOff>0</xdr:rowOff>
    </xdr:from>
    <xdr:to>
      <xdr:col>4</xdr:col>
      <xdr:colOff>377463</xdr:colOff>
      <xdr:row>14</xdr:row>
      <xdr:rowOff>182880</xdr:rowOff>
    </xdr:to>
    <xdr:pic>
      <xdr:nvPicPr>
        <xdr:cNvPr id="18" name="Picture 17">
          <a:hlinkClick xmlns:r="http://schemas.openxmlformats.org/officeDocument/2006/relationships" r:id="rId15"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2619375"/>
          <a:ext cx="182880" cy="182880"/>
        </a:xfrm>
        <a:prstGeom prst="rect">
          <a:avLst/>
        </a:prstGeom>
      </xdr:spPr>
    </xdr:pic>
    <xdr:clientData/>
  </xdr:twoCellAnchor>
  <xdr:twoCellAnchor editAs="oneCell">
    <xdr:from>
      <xdr:col>4</xdr:col>
      <xdr:colOff>194583</xdr:colOff>
      <xdr:row>16</xdr:row>
      <xdr:rowOff>0</xdr:rowOff>
    </xdr:from>
    <xdr:to>
      <xdr:col>4</xdr:col>
      <xdr:colOff>377463</xdr:colOff>
      <xdr:row>16</xdr:row>
      <xdr:rowOff>182880</xdr:rowOff>
    </xdr:to>
    <xdr:pic>
      <xdr:nvPicPr>
        <xdr:cNvPr id="20" name="Picture 19">
          <a:hlinkClick xmlns:r="http://schemas.openxmlformats.org/officeDocument/2006/relationships" r:id="rId16"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3000375"/>
          <a:ext cx="182880" cy="182880"/>
        </a:xfrm>
        <a:prstGeom prst="rect">
          <a:avLst/>
        </a:prstGeom>
      </xdr:spPr>
    </xdr:pic>
    <xdr:clientData/>
  </xdr:twoCellAnchor>
  <xdr:twoCellAnchor editAs="oneCell">
    <xdr:from>
      <xdr:col>4</xdr:col>
      <xdr:colOff>194583</xdr:colOff>
      <xdr:row>17</xdr:row>
      <xdr:rowOff>0</xdr:rowOff>
    </xdr:from>
    <xdr:to>
      <xdr:col>4</xdr:col>
      <xdr:colOff>377463</xdr:colOff>
      <xdr:row>17</xdr:row>
      <xdr:rowOff>182880</xdr:rowOff>
    </xdr:to>
    <xdr:pic>
      <xdr:nvPicPr>
        <xdr:cNvPr id="21" name="Picture 20">
          <a:hlinkClick xmlns:r="http://schemas.openxmlformats.org/officeDocument/2006/relationships" r:id="rId17"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3190875"/>
          <a:ext cx="182880" cy="182880"/>
        </a:xfrm>
        <a:prstGeom prst="rect">
          <a:avLst/>
        </a:prstGeom>
      </xdr:spPr>
    </xdr:pic>
    <xdr:clientData/>
  </xdr:twoCellAnchor>
  <xdr:twoCellAnchor editAs="oneCell">
    <xdr:from>
      <xdr:col>4</xdr:col>
      <xdr:colOff>194583</xdr:colOff>
      <xdr:row>18</xdr:row>
      <xdr:rowOff>0</xdr:rowOff>
    </xdr:from>
    <xdr:to>
      <xdr:col>4</xdr:col>
      <xdr:colOff>377463</xdr:colOff>
      <xdr:row>18</xdr:row>
      <xdr:rowOff>182880</xdr:rowOff>
    </xdr:to>
    <xdr:pic>
      <xdr:nvPicPr>
        <xdr:cNvPr id="22" name="Picture 21">
          <a:hlinkClick xmlns:r="http://schemas.openxmlformats.org/officeDocument/2006/relationships" r:id="rId18"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3381375"/>
          <a:ext cx="182880" cy="182880"/>
        </a:xfrm>
        <a:prstGeom prst="rect">
          <a:avLst/>
        </a:prstGeom>
      </xdr:spPr>
    </xdr:pic>
    <xdr:clientData/>
  </xdr:twoCellAnchor>
  <xdr:twoCellAnchor editAs="oneCell">
    <xdr:from>
      <xdr:col>4</xdr:col>
      <xdr:colOff>194583</xdr:colOff>
      <xdr:row>19</xdr:row>
      <xdr:rowOff>0</xdr:rowOff>
    </xdr:from>
    <xdr:to>
      <xdr:col>4</xdr:col>
      <xdr:colOff>377463</xdr:colOff>
      <xdr:row>19</xdr:row>
      <xdr:rowOff>182880</xdr:rowOff>
    </xdr:to>
    <xdr:pic>
      <xdr:nvPicPr>
        <xdr:cNvPr id="23" name="Picture 22">
          <a:hlinkClick xmlns:r="http://schemas.openxmlformats.org/officeDocument/2006/relationships" r:id="rId19"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3571875"/>
          <a:ext cx="182880" cy="182880"/>
        </a:xfrm>
        <a:prstGeom prst="rect">
          <a:avLst/>
        </a:prstGeom>
      </xdr:spPr>
    </xdr:pic>
    <xdr:clientData/>
  </xdr:twoCellAnchor>
  <xdr:twoCellAnchor editAs="oneCell">
    <xdr:from>
      <xdr:col>4</xdr:col>
      <xdr:colOff>194583</xdr:colOff>
      <xdr:row>20</xdr:row>
      <xdr:rowOff>0</xdr:rowOff>
    </xdr:from>
    <xdr:to>
      <xdr:col>4</xdr:col>
      <xdr:colOff>377463</xdr:colOff>
      <xdr:row>20</xdr:row>
      <xdr:rowOff>182880</xdr:rowOff>
    </xdr:to>
    <xdr:pic>
      <xdr:nvPicPr>
        <xdr:cNvPr id="24" name="Picture 23">
          <a:hlinkClick xmlns:r="http://schemas.openxmlformats.org/officeDocument/2006/relationships" r:id="rId20"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3762375"/>
          <a:ext cx="182880" cy="182880"/>
        </a:xfrm>
        <a:prstGeom prst="rect">
          <a:avLst/>
        </a:prstGeom>
      </xdr:spPr>
    </xdr:pic>
    <xdr:clientData/>
  </xdr:twoCellAnchor>
  <xdr:twoCellAnchor editAs="oneCell">
    <xdr:from>
      <xdr:col>4</xdr:col>
      <xdr:colOff>194583</xdr:colOff>
      <xdr:row>25</xdr:row>
      <xdr:rowOff>0</xdr:rowOff>
    </xdr:from>
    <xdr:to>
      <xdr:col>4</xdr:col>
      <xdr:colOff>377463</xdr:colOff>
      <xdr:row>25</xdr:row>
      <xdr:rowOff>182880</xdr:rowOff>
    </xdr:to>
    <xdr:pic>
      <xdr:nvPicPr>
        <xdr:cNvPr id="25" name="Picture 24">
          <a:hlinkClick xmlns:r="http://schemas.openxmlformats.org/officeDocument/2006/relationships" r:id="rId21"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4648200"/>
          <a:ext cx="182880" cy="182880"/>
        </a:xfrm>
        <a:prstGeom prst="rect">
          <a:avLst/>
        </a:prstGeom>
      </xdr:spPr>
    </xdr:pic>
    <xdr:clientData/>
  </xdr:twoCellAnchor>
  <xdr:twoCellAnchor editAs="oneCell">
    <xdr:from>
      <xdr:col>4</xdr:col>
      <xdr:colOff>194583</xdr:colOff>
      <xdr:row>26</xdr:row>
      <xdr:rowOff>0</xdr:rowOff>
    </xdr:from>
    <xdr:to>
      <xdr:col>4</xdr:col>
      <xdr:colOff>377463</xdr:colOff>
      <xdr:row>26</xdr:row>
      <xdr:rowOff>182880</xdr:rowOff>
    </xdr:to>
    <xdr:pic>
      <xdr:nvPicPr>
        <xdr:cNvPr id="26" name="Picture 25">
          <a:hlinkClick xmlns:r="http://schemas.openxmlformats.org/officeDocument/2006/relationships" r:id="rId22"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4838700"/>
          <a:ext cx="182880" cy="182880"/>
        </a:xfrm>
        <a:prstGeom prst="rect">
          <a:avLst/>
        </a:prstGeom>
      </xdr:spPr>
    </xdr:pic>
    <xdr:clientData/>
  </xdr:twoCellAnchor>
  <xdr:twoCellAnchor editAs="oneCell">
    <xdr:from>
      <xdr:col>4</xdr:col>
      <xdr:colOff>194583</xdr:colOff>
      <xdr:row>27</xdr:row>
      <xdr:rowOff>0</xdr:rowOff>
    </xdr:from>
    <xdr:to>
      <xdr:col>4</xdr:col>
      <xdr:colOff>377463</xdr:colOff>
      <xdr:row>27</xdr:row>
      <xdr:rowOff>182880</xdr:rowOff>
    </xdr:to>
    <xdr:pic>
      <xdr:nvPicPr>
        <xdr:cNvPr id="27" name="Picture 26">
          <a:hlinkClick xmlns:r="http://schemas.openxmlformats.org/officeDocument/2006/relationships" r:id="rId23"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5029200"/>
          <a:ext cx="182880" cy="182880"/>
        </a:xfrm>
        <a:prstGeom prst="rect">
          <a:avLst/>
        </a:prstGeom>
      </xdr:spPr>
    </xdr:pic>
    <xdr:clientData/>
  </xdr:twoCellAnchor>
  <xdr:twoCellAnchor editAs="oneCell">
    <xdr:from>
      <xdr:col>4</xdr:col>
      <xdr:colOff>194583</xdr:colOff>
      <xdr:row>30</xdr:row>
      <xdr:rowOff>0</xdr:rowOff>
    </xdr:from>
    <xdr:to>
      <xdr:col>4</xdr:col>
      <xdr:colOff>377463</xdr:colOff>
      <xdr:row>30</xdr:row>
      <xdr:rowOff>182880</xdr:rowOff>
    </xdr:to>
    <xdr:pic>
      <xdr:nvPicPr>
        <xdr:cNvPr id="28" name="Picture 27">
          <a:hlinkClick xmlns:r="http://schemas.openxmlformats.org/officeDocument/2006/relationships" r:id="rId24"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5600700"/>
          <a:ext cx="182880" cy="182880"/>
        </a:xfrm>
        <a:prstGeom prst="rect">
          <a:avLst/>
        </a:prstGeom>
      </xdr:spPr>
    </xdr:pic>
    <xdr:clientData/>
  </xdr:twoCellAnchor>
  <xdr:twoCellAnchor editAs="oneCell">
    <xdr:from>
      <xdr:col>4</xdr:col>
      <xdr:colOff>194583</xdr:colOff>
      <xdr:row>53</xdr:row>
      <xdr:rowOff>0</xdr:rowOff>
    </xdr:from>
    <xdr:to>
      <xdr:col>4</xdr:col>
      <xdr:colOff>377463</xdr:colOff>
      <xdr:row>53</xdr:row>
      <xdr:rowOff>182880</xdr:rowOff>
    </xdr:to>
    <xdr:pic>
      <xdr:nvPicPr>
        <xdr:cNvPr id="29" name="Picture 28">
          <a:hlinkClick xmlns:r="http://schemas.openxmlformats.org/officeDocument/2006/relationships" r:id="rId25"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9582150"/>
          <a:ext cx="182880" cy="182880"/>
        </a:xfrm>
        <a:prstGeom prst="rect">
          <a:avLst/>
        </a:prstGeom>
      </xdr:spPr>
    </xdr:pic>
    <xdr:clientData/>
  </xdr:twoCellAnchor>
  <xdr:twoCellAnchor editAs="oneCell">
    <xdr:from>
      <xdr:col>4</xdr:col>
      <xdr:colOff>194583</xdr:colOff>
      <xdr:row>67</xdr:row>
      <xdr:rowOff>0</xdr:rowOff>
    </xdr:from>
    <xdr:to>
      <xdr:col>4</xdr:col>
      <xdr:colOff>377463</xdr:colOff>
      <xdr:row>67</xdr:row>
      <xdr:rowOff>182880</xdr:rowOff>
    </xdr:to>
    <xdr:pic>
      <xdr:nvPicPr>
        <xdr:cNvPr id="39" name="Picture 38">
          <a:hlinkClick xmlns:r="http://schemas.openxmlformats.org/officeDocument/2006/relationships" r:id="rId26"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12134850"/>
          <a:ext cx="182880" cy="182880"/>
        </a:xfrm>
        <a:prstGeom prst="rect">
          <a:avLst/>
        </a:prstGeom>
      </xdr:spPr>
    </xdr:pic>
    <xdr:clientData/>
  </xdr:twoCellAnchor>
  <xdr:twoCellAnchor editAs="oneCell">
    <xdr:from>
      <xdr:col>4</xdr:col>
      <xdr:colOff>194583</xdr:colOff>
      <xdr:row>68</xdr:row>
      <xdr:rowOff>0</xdr:rowOff>
    </xdr:from>
    <xdr:to>
      <xdr:col>4</xdr:col>
      <xdr:colOff>377463</xdr:colOff>
      <xdr:row>68</xdr:row>
      <xdr:rowOff>182880</xdr:rowOff>
    </xdr:to>
    <xdr:pic>
      <xdr:nvPicPr>
        <xdr:cNvPr id="40" name="Picture 39">
          <a:hlinkClick xmlns:r="http://schemas.openxmlformats.org/officeDocument/2006/relationships" r:id="rId27"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12325350"/>
          <a:ext cx="182880" cy="182880"/>
        </a:xfrm>
        <a:prstGeom prst="rect">
          <a:avLst/>
        </a:prstGeom>
      </xdr:spPr>
    </xdr:pic>
    <xdr:clientData/>
  </xdr:twoCellAnchor>
  <xdr:twoCellAnchor editAs="oneCell">
    <xdr:from>
      <xdr:col>4</xdr:col>
      <xdr:colOff>194583</xdr:colOff>
      <xdr:row>70</xdr:row>
      <xdr:rowOff>0</xdr:rowOff>
    </xdr:from>
    <xdr:to>
      <xdr:col>4</xdr:col>
      <xdr:colOff>377463</xdr:colOff>
      <xdr:row>70</xdr:row>
      <xdr:rowOff>182880</xdr:rowOff>
    </xdr:to>
    <xdr:pic>
      <xdr:nvPicPr>
        <xdr:cNvPr id="41" name="Picture 40">
          <a:hlinkClick xmlns:r="http://schemas.openxmlformats.org/officeDocument/2006/relationships" r:id="rId28"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12706350"/>
          <a:ext cx="182880" cy="182880"/>
        </a:xfrm>
        <a:prstGeom prst="rect">
          <a:avLst/>
        </a:prstGeom>
      </xdr:spPr>
    </xdr:pic>
    <xdr:clientData/>
  </xdr:twoCellAnchor>
  <xdr:twoCellAnchor editAs="oneCell">
    <xdr:from>
      <xdr:col>4</xdr:col>
      <xdr:colOff>194583</xdr:colOff>
      <xdr:row>15</xdr:row>
      <xdr:rowOff>0</xdr:rowOff>
    </xdr:from>
    <xdr:to>
      <xdr:col>4</xdr:col>
      <xdr:colOff>377463</xdr:colOff>
      <xdr:row>15</xdr:row>
      <xdr:rowOff>182880</xdr:rowOff>
    </xdr:to>
    <xdr:pic>
      <xdr:nvPicPr>
        <xdr:cNvPr id="43" name="Picture 42">
          <a:hlinkClick xmlns:r="http://schemas.openxmlformats.org/officeDocument/2006/relationships" r:id="rId29"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2809875"/>
          <a:ext cx="182880" cy="182880"/>
        </a:xfrm>
        <a:prstGeom prst="rect">
          <a:avLst/>
        </a:prstGeom>
      </xdr:spPr>
    </xdr:pic>
    <xdr:clientData/>
  </xdr:twoCellAnchor>
  <xdr:twoCellAnchor editAs="oneCell">
    <xdr:from>
      <xdr:col>4</xdr:col>
      <xdr:colOff>194583</xdr:colOff>
      <xdr:row>28</xdr:row>
      <xdr:rowOff>0</xdr:rowOff>
    </xdr:from>
    <xdr:to>
      <xdr:col>4</xdr:col>
      <xdr:colOff>377463</xdr:colOff>
      <xdr:row>28</xdr:row>
      <xdr:rowOff>182880</xdr:rowOff>
    </xdr:to>
    <xdr:pic>
      <xdr:nvPicPr>
        <xdr:cNvPr id="44" name="Picture 43">
          <a:hlinkClick xmlns:r="http://schemas.openxmlformats.org/officeDocument/2006/relationships" r:id="rId30"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5219700"/>
          <a:ext cx="182880" cy="182880"/>
        </a:xfrm>
        <a:prstGeom prst="rect">
          <a:avLst/>
        </a:prstGeom>
      </xdr:spPr>
    </xdr:pic>
    <xdr:clientData/>
  </xdr:twoCellAnchor>
  <xdr:twoCellAnchor editAs="oneCell">
    <xdr:from>
      <xdr:col>4</xdr:col>
      <xdr:colOff>194583</xdr:colOff>
      <xdr:row>37</xdr:row>
      <xdr:rowOff>0</xdr:rowOff>
    </xdr:from>
    <xdr:to>
      <xdr:col>4</xdr:col>
      <xdr:colOff>377463</xdr:colOff>
      <xdr:row>37</xdr:row>
      <xdr:rowOff>182880</xdr:rowOff>
    </xdr:to>
    <xdr:pic>
      <xdr:nvPicPr>
        <xdr:cNvPr id="45" name="Picture 44">
          <a:hlinkClick xmlns:r="http://schemas.openxmlformats.org/officeDocument/2006/relationships" r:id="rId31"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6934200"/>
          <a:ext cx="182880" cy="182880"/>
        </a:xfrm>
        <a:prstGeom prst="rect">
          <a:avLst/>
        </a:prstGeom>
      </xdr:spPr>
    </xdr:pic>
    <xdr:clientData/>
  </xdr:twoCellAnchor>
  <xdr:twoCellAnchor editAs="oneCell">
    <xdr:from>
      <xdr:col>4</xdr:col>
      <xdr:colOff>194583</xdr:colOff>
      <xdr:row>54</xdr:row>
      <xdr:rowOff>0</xdr:rowOff>
    </xdr:from>
    <xdr:to>
      <xdr:col>4</xdr:col>
      <xdr:colOff>377463</xdr:colOff>
      <xdr:row>54</xdr:row>
      <xdr:rowOff>182880</xdr:rowOff>
    </xdr:to>
    <xdr:pic>
      <xdr:nvPicPr>
        <xdr:cNvPr id="46" name="Picture 45">
          <a:hlinkClick xmlns:r="http://schemas.openxmlformats.org/officeDocument/2006/relationships" r:id="rId32"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9772650"/>
          <a:ext cx="182880" cy="182880"/>
        </a:xfrm>
        <a:prstGeom prst="rect">
          <a:avLst/>
        </a:prstGeom>
      </xdr:spPr>
    </xdr:pic>
    <xdr:clientData/>
  </xdr:twoCellAnchor>
  <xdr:twoCellAnchor editAs="oneCell">
    <xdr:from>
      <xdr:col>4</xdr:col>
      <xdr:colOff>194583</xdr:colOff>
      <xdr:row>55</xdr:row>
      <xdr:rowOff>0</xdr:rowOff>
    </xdr:from>
    <xdr:to>
      <xdr:col>4</xdr:col>
      <xdr:colOff>377463</xdr:colOff>
      <xdr:row>55</xdr:row>
      <xdr:rowOff>182880</xdr:rowOff>
    </xdr:to>
    <xdr:pic>
      <xdr:nvPicPr>
        <xdr:cNvPr id="48" name="Picture 47">
          <a:hlinkClick xmlns:r="http://schemas.openxmlformats.org/officeDocument/2006/relationships" r:id="rId33"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9963150"/>
          <a:ext cx="182880" cy="182880"/>
        </a:xfrm>
        <a:prstGeom prst="rect">
          <a:avLst/>
        </a:prstGeom>
      </xdr:spPr>
    </xdr:pic>
    <xdr:clientData/>
  </xdr:twoCellAnchor>
  <xdr:twoCellAnchor editAs="oneCell">
    <xdr:from>
      <xdr:col>4</xdr:col>
      <xdr:colOff>194583</xdr:colOff>
      <xdr:row>56</xdr:row>
      <xdr:rowOff>0</xdr:rowOff>
    </xdr:from>
    <xdr:to>
      <xdr:col>4</xdr:col>
      <xdr:colOff>377463</xdr:colOff>
      <xdr:row>56</xdr:row>
      <xdr:rowOff>182880</xdr:rowOff>
    </xdr:to>
    <xdr:pic>
      <xdr:nvPicPr>
        <xdr:cNvPr id="49" name="Picture 48">
          <a:hlinkClick xmlns:r="http://schemas.openxmlformats.org/officeDocument/2006/relationships" r:id="rId34"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10153650"/>
          <a:ext cx="182880" cy="182880"/>
        </a:xfrm>
        <a:prstGeom prst="rect">
          <a:avLst/>
        </a:prstGeom>
      </xdr:spPr>
    </xdr:pic>
    <xdr:clientData/>
  </xdr:twoCellAnchor>
  <xdr:twoCellAnchor editAs="oneCell">
    <xdr:from>
      <xdr:col>4</xdr:col>
      <xdr:colOff>194583</xdr:colOff>
      <xdr:row>57</xdr:row>
      <xdr:rowOff>0</xdr:rowOff>
    </xdr:from>
    <xdr:to>
      <xdr:col>4</xdr:col>
      <xdr:colOff>377463</xdr:colOff>
      <xdr:row>57</xdr:row>
      <xdr:rowOff>182880</xdr:rowOff>
    </xdr:to>
    <xdr:pic>
      <xdr:nvPicPr>
        <xdr:cNvPr id="50" name="Picture 49">
          <a:hlinkClick xmlns:r="http://schemas.openxmlformats.org/officeDocument/2006/relationships" r:id="rId35"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10344150"/>
          <a:ext cx="182880" cy="182880"/>
        </a:xfrm>
        <a:prstGeom prst="rect">
          <a:avLst/>
        </a:prstGeom>
      </xdr:spPr>
    </xdr:pic>
    <xdr:clientData/>
  </xdr:twoCellAnchor>
  <xdr:twoCellAnchor editAs="oneCell">
    <xdr:from>
      <xdr:col>4</xdr:col>
      <xdr:colOff>194583</xdr:colOff>
      <xdr:row>58</xdr:row>
      <xdr:rowOff>0</xdr:rowOff>
    </xdr:from>
    <xdr:to>
      <xdr:col>4</xdr:col>
      <xdr:colOff>377463</xdr:colOff>
      <xdr:row>58</xdr:row>
      <xdr:rowOff>182880</xdr:rowOff>
    </xdr:to>
    <xdr:pic>
      <xdr:nvPicPr>
        <xdr:cNvPr id="51" name="Picture 50">
          <a:hlinkClick xmlns:r="http://schemas.openxmlformats.org/officeDocument/2006/relationships" r:id="rId36"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10534650"/>
          <a:ext cx="182880" cy="182880"/>
        </a:xfrm>
        <a:prstGeom prst="rect">
          <a:avLst/>
        </a:prstGeom>
      </xdr:spPr>
    </xdr:pic>
    <xdr:clientData/>
  </xdr:twoCellAnchor>
  <xdr:twoCellAnchor editAs="oneCell">
    <xdr:from>
      <xdr:col>4</xdr:col>
      <xdr:colOff>194583</xdr:colOff>
      <xdr:row>59</xdr:row>
      <xdr:rowOff>0</xdr:rowOff>
    </xdr:from>
    <xdr:to>
      <xdr:col>4</xdr:col>
      <xdr:colOff>377463</xdr:colOff>
      <xdr:row>59</xdr:row>
      <xdr:rowOff>182880</xdr:rowOff>
    </xdr:to>
    <xdr:pic>
      <xdr:nvPicPr>
        <xdr:cNvPr id="52" name="Picture 51">
          <a:hlinkClick xmlns:r="http://schemas.openxmlformats.org/officeDocument/2006/relationships" r:id="rId37"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10725150"/>
          <a:ext cx="182880" cy="182880"/>
        </a:xfrm>
        <a:prstGeom prst="rect">
          <a:avLst/>
        </a:prstGeom>
      </xdr:spPr>
    </xdr:pic>
    <xdr:clientData/>
  </xdr:twoCellAnchor>
  <xdr:twoCellAnchor editAs="oneCell">
    <xdr:from>
      <xdr:col>4</xdr:col>
      <xdr:colOff>194583</xdr:colOff>
      <xdr:row>60</xdr:row>
      <xdr:rowOff>0</xdr:rowOff>
    </xdr:from>
    <xdr:to>
      <xdr:col>4</xdr:col>
      <xdr:colOff>377463</xdr:colOff>
      <xdr:row>60</xdr:row>
      <xdr:rowOff>182880</xdr:rowOff>
    </xdr:to>
    <xdr:pic>
      <xdr:nvPicPr>
        <xdr:cNvPr id="53" name="Picture 52">
          <a:hlinkClick xmlns:r="http://schemas.openxmlformats.org/officeDocument/2006/relationships" r:id="rId38"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10915650"/>
          <a:ext cx="182880" cy="182880"/>
        </a:xfrm>
        <a:prstGeom prst="rect">
          <a:avLst/>
        </a:prstGeom>
      </xdr:spPr>
    </xdr:pic>
    <xdr:clientData/>
  </xdr:twoCellAnchor>
  <xdr:twoCellAnchor editAs="oneCell">
    <xdr:from>
      <xdr:col>4</xdr:col>
      <xdr:colOff>194583</xdr:colOff>
      <xdr:row>61</xdr:row>
      <xdr:rowOff>0</xdr:rowOff>
    </xdr:from>
    <xdr:to>
      <xdr:col>4</xdr:col>
      <xdr:colOff>377463</xdr:colOff>
      <xdr:row>61</xdr:row>
      <xdr:rowOff>182880</xdr:rowOff>
    </xdr:to>
    <xdr:pic>
      <xdr:nvPicPr>
        <xdr:cNvPr id="54" name="Picture 53">
          <a:hlinkClick xmlns:r="http://schemas.openxmlformats.org/officeDocument/2006/relationships" r:id="rId39"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11106150"/>
          <a:ext cx="182880" cy="182880"/>
        </a:xfrm>
        <a:prstGeom prst="rect">
          <a:avLst/>
        </a:prstGeom>
      </xdr:spPr>
    </xdr:pic>
    <xdr:clientData/>
  </xdr:twoCellAnchor>
  <xdr:twoCellAnchor editAs="oneCell">
    <xdr:from>
      <xdr:col>4</xdr:col>
      <xdr:colOff>194583</xdr:colOff>
      <xdr:row>65</xdr:row>
      <xdr:rowOff>0</xdr:rowOff>
    </xdr:from>
    <xdr:to>
      <xdr:col>4</xdr:col>
      <xdr:colOff>377463</xdr:colOff>
      <xdr:row>65</xdr:row>
      <xdr:rowOff>182880</xdr:rowOff>
    </xdr:to>
    <xdr:pic>
      <xdr:nvPicPr>
        <xdr:cNvPr id="55" name="Picture 54">
          <a:hlinkClick xmlns:r="http://schemas.openxmlformats.org/officeDocument/2006/relationships" r:id="rId40" tooltip="Go to detail"/>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119133" y="11753850"/>
          <a:ext cx="182880" cy="182880"/>
        </a:xfrm>
        <a:prstGeom prst="rect">
          <a:avLst/>
        </a:prstGeom>
      </xdr:spPr>
    </xdr:pic>
    <xdr:clientData/>
  </xdr:twoCellAnchor>
  <xdr:twoCellAnchor editAs="oneCell">
    <xdr:from>
      <xdr:col>0</xdr:col>
      <xdr:colOff>657226</xdr:colOff>
      <xdr:row>0</xdr:row>
      <xdr:rowOff>9525</xdr:rowOff>
    </xdr:from>
    <xdr:to>
      <xdr:col>1</xdr:col>
      <xdr:colOff>638176</xdr:colOff>
      <xdr:row>3</xdr:row>
      <xdr:rowOff>34017</xdr:rowOff>
    </xdr:to>
    <xdr:pic>
      <xdr:nvPicPr>
        <xdr:cNvPr id="42" name="Picture 41"/>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tretch>
          <a:fillRect/>
        </a:stretch>
      </xdr:blipFill>
      <xdr:spPr>
        <a:xfrm>
          <a:off x="657226" y="9525"/>
          <a:ext cx="647700" cy="653142"/>
        </a:xfrm>
        <a:prstGeom prst="rect">
          <a:avLst/>
        </a:prstGeom>
      </xdr:spPr>
    </xdr:pic>
    <xdr:clientData/>
  </xdr:twoCellAnchor>
  <xdr:twoCellAnchor editAs="oneCell">
    <xdr:from>
      <xdr:col>7</xdr:col>
      <xdr:colOff>523875</xdr:colOff>
      <xdr:row>31</xdr:row>
      <xdr:rowOff>104775</xdr:rowOff>
    </xdr:from>
    <xdr:to>
      <xdr:col>7</xdr:col>
      <xdr:colOff>706755</xdr:colOff>
      <xdr:row>32</xdr:row>
      <xdr:rowOff>97155</xdr:rowOff>
    </xdr:to>
    <xdr:pic>
      <xdr:nvPicPr>
        <xdr:cNvPr id="47" name="Picture 4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810625" y="5895975"/>
          <a:ext cx="182880" cy="182880"/>
        </a:xfrm>
        <a:prstGeom prst="rect">
          <a:avLst/>
        </a:prstGeom>
      </xdr:spPr>
    </xdr:pic>
    <xdr:clientData/>
  </xdr:twoCellAnchor>
  <xdr:twoCellAnchor editAs="oneCell">
    <xdr:from>
      <xdr:col>6</xdr:col>
      <xdr:colOff>581025</xdr:colOff>
      <xdr:row>1</xdr:row>
      <xdr:rowOff>38100</xdr:rowOff>
    </xdr:from>
    <xdr:to>
      <xdr:col>9</xdr:col>
      <xdr:colOff>95631</xdr:colOff>
      <xdr:row>4</xdr:row>
      <xdr:rowOff>158115</xdr:rowOff>
    </xdr:to>
    <xdr:sp macro="[0]!PrintBS_Final" textlink="">
      <xdr:nvSpPr>
        <xdr:cNvPr id="56" name="Rectangle 55">
          <a:hlinkClick xmlns:r="http://schemas.openxmlformats.org/officeDocument/2006/relationships" r:id="rId42" tooltip="Go to General Info"/>
        </xdr:cNvPr>
        <xdr:cNvSpPr/>
      </xdr:nvSpPr>
      <xdr:spPr>
        <a:xfrm>
          <a:off x="8020050" y="276225"/>
          <a:ext cx="1591056" cy="548640"/>
        </a:xfrm>
        <a:prstGeom prst="rect">
          <a:avLst/>
        </a:prstGeom>
        <a:solidFill>
          <a:srgbClr val="F37321"/>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t>Go</a:t>
          </a:r>
          <a:r>
            <a:rPr lang="en-US" sz="1400" b="1" baseline="0"/>
            <a:t> to Gen Info</a:t>
          </a:r>
          <a:endParaRPr lang="en-US" sz="1400" b="1"/>
        </a:p>
      </xdr:txBody>
    </xdr:sp>
    <xdr:clientData fPrintsWithSheet="0"/>
  </xdr:twoCellAnchor>
  <xdr:twoCellAnchor>
    <xdr:from>
      <xdr:col>5</xdr:col>
      <xdr:colOff>333375</xdr:colOff>
      <xdr:row>5</xdr:row>
      <xdr:rowOff>95250</xdr:rowOff>
    </xdr:from>
    <xdr:to>
      <xdr:col>7</xdr:col>
      <xdr:colOff>741045</xdr:colOff>
      <xdr:row>9</xdr:row>
      <xdr:rowOff>104775</xdr:rowOff>
    </xdr:to>
    <xdr:sp macro="[0]!PrintBS_Final" textlink="">
      <xdr:nvSpPr>
        <xdr:cNvPr id="58" name="Rectangle 57">
          <a:hlinkClick xmlns:r="http://schemas.openxmlformats.org/officeDocument/2006/relationships" r:id="rId43" tooltip="Go to Online Help Video"/>
        </xdr:cNvPr>
        <xdr:cNvSpPr/>
      </xdr:nvSpPr>
      <xdr:spPr>
        <a:xfrm>
          <a:off x="6924675" y="1000125"/>
          <a:ext cx="2103120" cy="771525"/>
        </a:xfrm>
        <a:prstGeom prst="rect">
          <a:avLst/>
        </a:prstGeom>
        <a:solidFill>
          <a:srgbClr val="F37321"/>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t>View the</a:t>
          </a:r>
          <a:r>
            <a:rPr lang="en-US" sz="1400" b="1" baseline="0"/>
            <a:t> How to Use -Balance Sheet help video </a:t>
          </a:r>
        </a:p>
        <a:p>
          <a:pPr algn="ctr"/>
          <a:r>
            <a:rPr lang="en-US" sz="1400" b="1" baseline="0"/>
            <a:t>(opens browser)</a:t>
          </a:r>
          <a:endParaRPr lang="en-US" sz="1400" b="1"/>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3129643</xdr:colOff>
      <xdr:row>5</xdr:row>
      <xdr:rowOff>188426</xdr:rowOff>
    </xdr:from>
    <xdr:to>
      <xdr:col>0</xdr:col>
      <xdr:colOff>3311227</xdr:colOff>
      <xdr:row>6</xdr:row>
      <xdr:rowOff>179510</xdr:rowOff>
    </xdr:to>
    <xdr:pic>
      <xdr:nvPicPr>
        <xdr:cNvPr id="3" name="Picture 2">
          <a:hlinkClick xmlns:r="http://schemas.openxmlformats.org/officeDocument/2006/relationships" r:id="rId1"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29643" y="1207601"/>
          <a:ext cx="181584" cy="181584"/>
        </a:xfrm>
        <a:prstGeom prst="rect">
          <a:avLst/>
        </a:prstGeom>
      </xdr:spPr>
    </xdr:pic>
    <xdr:clientData fPrintsWithSheet="0"/>
  </xdr:twoCellAnchor>
  <xdr:twoCellAnchor editAs="oneCell">
    <xdr:from>
      <xdr:col>0</xdr:col>
      <xdr:colOff>3133757</xdr:colOff>
      <xdr:row>10</xdr:row>
      <xdr:rowOff>187779</xdr:rowOff>
    </xdr:from>
    <xdr:to>
      <xdr:col>1</xdr:col>
      <xdr:colOff>1937</xdr:colOff>
      <xdr:row>11</xdr:row>
      <xdr:rowOff>180159</xdr:rowOff>
    </xdr:to>
    <xdr:pic>
      <xdr:nvPicPr>
        <xdr:cNvPr id="9" name="Picture 8">
          <a:hlinkClick xmlns:r="http://schemas.openxmlformats.org/officeDocument/2006/relationships" r:id="rId3"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33757" y="2349954"/>
          <a:ext cx="182880" cy="182880"/>
        </a:xfrm>
        <a:prstGeom prst="rect">
          <a:avLst/>
        </a:prstGeom>
      </xdr:spPr>
    </xdr:pic>
    <xdr:clientData fPrintsWithSheet="0"/>
  </xdr:twoCellAnchor>
  <xdr:twoCellAnchor editAs="oneCell">
    <xdr:from>
      <xdr:col>0</xdr:col>
      <xdr:colOff>3122840</xdr:colOff>
      <xdr:row>15</xdr:row>
      <xdr:rowOff>648</xdr:rowOff>
    </xdr:from>
    <xdr:to>
      <xdr:col>0</xdr:col>
      <xdr:colOff>3304424</xdr:colOff>
      <xdr:row>15</xdr:row>
      <xdr:rowOff>182232</xdr:rowOff>
    </xdr:to>
    <xdr:pic>
      <xdr:nvPicPr>
        <xdr:cNvPr id="10" name="Picture 9">
          <a:hlinkClick xmlns:r="http://schemas.openxmlformats.org/officeDocument/2006/relationships" r:id="rId4"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22840" y="3305823"/>
          <a:ext cx="181584" cy="181584"/>
        </a:xfrm>
        <a:prstGeom prst="rect">
          <a:avLst/>
        </a:prstGeom>
      </xdr:spPr>
    </xdr:pic>
    <xdr:clientData fPrintsWithSheet="0"/>
  </xdr:twoCellAnchor>
  <xdr:twoCellAnchor editAs="oneCell">
    <xdr:from>
      <xdr:col>0</xdr:col>
      <xdr:colOff>3122840</xdr:colOff>
      <xdr:row>19</xdr:row>
      <xdr:rowOff>648</xdr:rowOff>
    </xdr:from>
    <xdr:to>
      <xdr:col>0</xdr:col>
      <xdr:colOff>3304424</xdr:colOff>
      <xdr:row>19</xdr:row>
      <xdr:rowOff>182232</xdr:rowOff>
    </xdr:to>
    <xdr:pic>
      <xdr:nvPicPr>
        <xdr:cNvPr id="11" name="Picture 10">
          <a:hlinkClick xmlns:r="http://schemas.openxmlformats.org/officeDocument/2006/relationships" r:id="rId5"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22840" y="4258323"/>
          <a:ext cx="181584" cy="181584"/>
        </a:xfrm>
        <a:prstGeom prst="rect">
          <a:avLst/>
        </a:prstGeom>
      </xdr:spPr>
    </xdr:pic>
    <xdr:clientData fPrintsWithSheet="0"/>
  </xdr:twoCellAnchor>
  <xdr:twoCellAnchor editAs="oneCell">
    <xdr:from>
      <xdr:col>0</xdr:col>
      <xdr:colOff>3122839</xdr:colOff>
      <xdr:row>23</xdr:row>
      <xdr:rowOff>648</xdr:rowOff>
    </xdr:from>
    <xdr:to>
      <xdr:col>0</xdr:col>
      <xdr:colOff>3304423</xdr:colOff>
      <xdr:row>23</xdr:row>
      <xdr:rowOff>182232</xdr:rowOff>
    </xdr:to>
    <xdr:pic>
      <xdr:nvPicPr>
        <xdr:cNvPr id="12" name="Picture 11">
          <a:hlinkClick xmlns:r="http://schemas.openxmlformats.org/officeDocument/2006/relationships" r:id="rId6"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22839" y="5210823"/>
          <a:ext cx="181584" cy="181584"/>
        </a:xfrm>
        <a:prstGeom prst="rect">
          <a:avLst/>
        </a:prstGeom>
      </xdr:spPr>
    </xdr:pic>
    <xdr:clientData fPrintsWithSheet="0"/>
  </xdr:twoCellAnchor>
  <xdr:twoCellAnchor editAs="oneCell">
    <xdr:from>
      <xdr:col>0</xdr:col>
      <xdr:colOff>3122839</xdr:colOff>
      <xdr:row>27</xdr:row>
      <xdr:rowOff>648</xdr:rowOff>
    </xdr:from>
    <xdr:to>
      <xdr:col>0</xdr:col>
      <xdr:colOff>3304423</xdr:colOff>
      <xdr:row>27</xdr:row>
      <xdr:rowOff>182232</xdr:rowOff>
    </xdr:to>
    <xdr:pic>
      <xdr:nvPicPr>
        <xdr:cNvPr id="13" name="Picture 12">
          <a:hlinkClick xmlns:r="http://schemas.openxmlformats.org/officeDocument/2006/relationships" r:id="rId7"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22839" y="6163323"/>
          <a:ext cx="181584" cy="181584"/>
        </a:xfrm>
        <a:prstGeom prst="rect">
          <a:avLst/>
        </a:prstGeom>
      </xdr:spPr>
    </xdr:pic>
    <xdr:clientData fPrintsWithSheet="0"/>
  </xdr:twoCellAnchor>
  <xdr:twoCellAnchor editAs="oneCell">
    <xdr:from>
      <xdr:col>3</xdr:col>
      <xdr:colOff>3122841</xdr:colOff>
      <xdr:row>6</xdr:row>
      <xdr:rowOff>649</xdr:rowOff>
    </xdr:from>
    <xdr:to>
      <xdr:col>3</xdr:col>
      <xdr:colOff>3304425</xdr:colOff>
      <xdr:row>6</xdr:row>
      <xdr:rowOff>182233</xdr:rowOff>
    </xdr:to>
    <xdr:pic>
      <xdr:nvPicPr>
        <xdr:cNvPr id="14" name="Picture 13">
          <a:hlinkClick xmlns:r="http://schemas.openxmlformats.org/officeDocument/2006/relationships" r:id="rId8"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218716" y="1210324"/>
          <a:ext cx="181584" cy="181584"/>
        </a:xfrm>
        <a:prstGeom prst="rect">
          <a:avLst/>
        </a:prstGeom>
      </xdr:spPr>
    </xdr:pic>
    <xdr:clientData fPrintsWithSheet="0"/>
  </xdr:twoCellAnchor>
  <xdr:twoCellAnchor editAs="oneCell">
    <xdr:from>
      <xdr:col>3</xdr:col>
      <xdr:colOff>3122839</xdr:colOff>
      <xdr:row>10</xdr:row>
      <xdr:rowOff>648</xdr:rowOff>
    </xdr:from>
    <xdr:to>
      <xdr:col>3</xdr:col>
      <xdr:colOff>3304423</xdr:colOff>
      <xdr:row>10</xdr:row>
      <xdr:rowOff>182232</xdr:rowOff>
    </xdr:to>
    <xdr:pic>
      <xdr:nvPicPr>
        <xdr:cNvPr id="15" name="Picture 14">
          <a:hlinkClick xmlns:r="http://schemas.openxmlformats.org/officeDocument/2006/relationships" r:id="rId9"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218714" y="2162823"/>
          <a:ext cx="181584" cy="181584"/>
        </a:xfrm>
        <a:prstGeom prst="rect">
          <a:avLst/>
        </a:prstGeom>
      </xdr:spPr>
    </xdr:pic>
    <xdr:clientData fPrintsWithSheet="0"/>
  </xdr:twoCellAnchor>
  <xdr:twoCellAnchor editAs="oneCell">
    <xdr:from>
      <xdr:col>3</xdr:col>
      <xdr:colOff>3122839</xdr:colOff>
      <xdr:row>14</xdr:row>
      <xdr:rowOff>648</xdr:rowOff>
    </xdr:from>
    <xdr:to>
      <xdr:col>3</xdr:col>
      <xdr:colOff>3304423</xdr:colOff>
      <xdr:row>14</xdr:row>
      <xdr:rowOff>182232</xdr:rowOff>
    </xdr:to>
    <xdr:pic>
      <xdr:nvPicPr>
        <xdr:cNvPr id="16" name="Picture 15">
          <a:hlinkClick xmlns:r="http://schemas.openxmlformats.org/officeDocument/2006/relationships" r:id="rId10"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218714" y="3115323"/>
          <a:ext cx="181584" cy="181584"/>
        </a:xfrm>
        <a:prstGeom prst="rect">
          <a:avLst/>
        </a:prstGeom>
      </xdr:spPr>
    </xdr:pic>
    <xdr:clientData fPrintsWithSheet="0"/>
  </xdr:twoCellAnchor>
  <xdr:twoCellAnchor editAs="oneCell">
    <xdr:from>
      <xdr:col>3</xdr:col>
      <xdr:colOff>3122840</xdr:colOff>
      <xdr:row>18</xdr:row>
      <xdr:rowOff>648</xdr:rowOff>
    </xdr:from>
    <xdr:to>
      <xdr:col>3</xdr:col>
      <xdr:colOff>3304424</xdr:colOff>
      <xdr:row>18</xdr:row>
      <xdr:rowOff>182232</xdr:rowOff>
    </xdr:to>
    <xdr:pic>
      <xdr:nvPicPr>
        <xdr:cNvPr id="17" name="Picture 16">
          <a:hlinkClick xmlns:r="http://schemas.openxmlformats.org/officeDocument/2006/relationships" r:id="rId11"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218715" y="4067823"/>
          <a:ext cx="181584" cy="181584"/>
        </a:xfrm>
        <a:prstGeom prst="rect">
          <a:avLst/>
        </a:prstGeom>
      </xdr:spPr>
    </xdr:pic>
    <xdr:clientData fPrintsWithSheet="0"/>
  </xdr:twoCellAnchor>
  <xdr:twoCellAnchor editAs="oneCell">
    <xdr:from>
      <xdr:col>3</xdr:col>
      <xdr:colOff>3122840</xdr:colOff>
      <xdr:row>22</xdr:row>
      <xdr:rowOff>648</xdr:rowOff>
    </xdr:from>
    <xdr:to>
      <xdr:col>3</xdr:col>
      <xdr:colOff>3304424</xdr:colOff>
      <xdr:row>22</xdr:row>
      <xdr:rowOff>182232</xdr:rowOff>
    </xdr:to>
    <xdr:pic>
      <xdr:nvPicPr>
        <xdr:cNvPr id="18" name="Picture 17">
          <a:hlinkClick xmlns:r="http://schemas.openxmlformats.org/officeDocument/2006/relationships" r:id="rId12"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218715" y="5020323"/>
          <a:ext cx="181584" cy="181584"/>
        </a:xfrm>
        <a:prstGeom prst="rect">
          <a:avLst/>
        </a:prstGeom>
      </xdr:spPr>
    </xdr:pic>
    <xdr:clientData fPrintsWithSheet="0"/>
  </xdr:twoCellAnchor>
  <xdr:twoCellAnchor editAs="oneCell">
    <xdr:from>
      <xdr:col>3</xdr:col>
      <xdr:colOff>3122839</xdr:colOff>
      <xdr:row>26</xdr:row>
      <xdr:rowOff>647</xdr:rowOff>
    </xdr:from>
    <xdr:to>
      <xdr:col>3</xdr:col>
      <xdr:colOff>3304423</xdr:colOff>
      <xdr:row>26</xdr:row>
      <xdr:rowOff>182231</xdr:rowOff>
    </xdr:to>
    <xdr:pic>
      <xdr:nvPicPr>
        <xdr:cNvPr id="19" name="Picture 18">
          <a:hlinkClick xmlns:r="http://schemas.openxmlformats.org/officeDocument/2006/relationships" r:id="rId13"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218714" y="5972822"/>
          <a:ext cx="181584" cy="181584"/>
        </a:xfrm>
        <a:prstGeom prst="rect">
          <a:avLst/>
        </a:prstGeom>
      </xdr:spPr>
    </xdr:pic>
    <xdr:clientData fPrintsWithSheet="0"/>
  </xdr:twoCellAnchor>
  <xdr:twoCellAnchor editAs="oneCell">
    <xdr:from>
      <xdr:col>3</xdr:col>
      <xdr:colOff>3122839</xdr:colOff>
      <xdr:row>30</xdr:row>
      <xdr:rowOff>647</xdr:rowOff>
    </xdr:from>
    <xdr:to>
      <xdr:col>3</xdr:col>
      <xdr:colOff>3304423</xdr:colOff>
      <xdr:row>30</xdr:row>
      <xdr:rowOff>182231</xdr:rowOff>
    </xdr:to>
    <xdr:pic>
      <xdr:nvPicPr>
        <xdr:cNvPr id="20" name="Picture 19">
          <a:hlinkClick xmlns:r="http://schemas.openxmlformats.org/officeDocument/2006/relationships" r:id="rId14"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218714" y="6925322"/>
          <a:ext cx="181584" cy="181584"/>
        </a:xfrm>
        <a:prstGeom prst="rect">
          <a:avLst/>
        </a:prstGeom>
      </xdr:spPr>
    </xdr:pic>
    <xdr:clientData fPrintsWithSheet="0"/>
  </xdr:twoCellAnchor>
  <xdr:twoCellAnchor editAs="oneCell">
    <xdr:from>
      <xdr:col>6</xdr:col>
      <xdr:colOff>3129189</xdr:colOff>
      <xdr:row>6</xdr:row>
      <xdr:rowOff>648</xdr:rowOff>
    </xdr:from>
    <xdr:to>
      <xdr:col>6</xdr:col>
      <xdr:colOff>3310773</xdr:colOff>
      <xdr:row>6</xdr:row>
      <xdr:rowOff>182232</xdr:rowOff>
    </xdr:to>
    <xdr:pic>
      <xdr:nvPicPr>
        <xdr:cNvPr id="29" name="Picture 28">
          <a:hlinkClick xmlns:r="http://schemas.openxmlformats.org/officeDocument/2006/relationships" r:id="rId15"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501914" y="1210323"/>
          <a:ext cx="181584" cy="181584"/>
        </a:xfrm>
        <a:prstGeom prst="rect">
          <a:avLst/>
        </a:prstGeom>
      </xdr:spPr>
    </xdr:pic>
    <xdr:clientData fPrintsWithSheet="0"/>
  </xdr:twoCellAnchor>
  <xdr:twoCellAnchor editAs="oneCell">
    <xdr:from>
      <xdr:col>6</xdr:col>
      <xdr:colOff>3127619</xdr:colOff>
      <xdr:row>10</xdr:row>
      <xdr:rowOff>648</xdr:rowOff>
    </xdr:from>
    <xdr:to>
      <xdr:col>6</xdr:col>
      <xdr:colOff>3309203</xdr:colOff>
      <xdr:row>10</xdr:row>
      <xdr:rowOff>182232</xdr:rowOff>
    </xdr:to>
    <xdr:pic>
      <xdr:nvPicPr>
        <xdr:cNvPr id="21" name="Picture 20">
          <a:hlinkClick xmlns:r="http://schemas.openxmlformats.org/officeDocument/2006/relationships" r:id="rId16"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500344" y="2162823"/>
          <a:ext cx="181584" cy="181584"/>
        </a:xfrm>
        <a:prstGeom prst="rect">
          <a:avLst/>
        </a:prstGeom>
      </xdr:spPr>
    </xdr:pic>
    <xdr:clientData fPrintsWithSheet="0"/>
  </xdr:twoCellAnchor>
  <xdr:twoCellAnchor editAs="oneCell">
    <xdr:from>
      <xdr:col>6</xdr:col>
      <xdr:colOff>3130550</xdr:colOff>
      <xdr:row>14</xdr:row>
      <xdr:rowOff>648</xdr:rowOff>
    </xdr:from>
    <xdr:to>
      <xdr:col>6</xdr:col>
      <xdr:colOff>3312134</xdr:colOff>
      <xdr:row>14</xdr:row>
      <xdr:rowOff>182232</xdr:rowOff>
    </xdr:to>
    <xdr:pic>
      <xdr:nvPicPr>
        <xdr:cNvPr id="22" name="Picture 21">
          <a:hlinkClick xmlns:r="http://schemas.openxmlformats.org/officeDocument/2006/relationships" r:id="rId17"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503275" y="3115323"/>
          <a:ext cx="181584" cy="181584"/>
        </a:xfrm>
        <a:prstGeom prst="rect">
          <a:avLst/>
        </a:prstGeom>
      </xdr:spPr>
    </xdr:pic>
    <xdr:clientData fPrintsWithSheet="0"/>
  </xdr:twoCellAnchor>
  <xdr:twoCellAnchor editAs="oneCell">
    <xdr:from>
      <xdr:col>6</xdr:col>
      <xdr:colOff>3130550</xdr:colOff>
      <xdr:row>18</xdr:row>
      <xdr:rowOff>648</xdr:rowOff>
    </xdr:from>
    <xdr:to>
      <xdr:col>6</xdr:col>
      <xdr:colOff>3312134</xdr:colOff>
      <xdr:row>18</xdr:row>
      <xdr:rowOff>182232</xdr:rowOff>
    </xdr:to>
    <xdr:pic>
      <xdr:nvPicPr>
        <xdr:cNvPr id="23" name="Picture 22">
          <a:hlinkClick xmlns:r="http://schemas.openxmlformats.org/officeDocument/2006/relationships" r:id="rId18"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503275" y="4067823"/>
          <a:ext cx="181584" cy="181584"/>
        </a:xfrm>
        <a:prstGeom prst="rect">
          <a:avLst/>
        </a:prstGeom>
      </xdr:spPr>
    </xdr:pic>
    <xdr:clientData fPrintsWithSheet="0"/>
  </xdr:twoCellAnchor>
  <xdr:twoCellAnchor editAs="oneCell">
    <xdr:from>
      <xdr:col>6</xdr:col>
      <xdr:colOff>3130550</xdr:colOff>
      <xdr:row>22</xdr:row>
      <xdr:rowOff>648</xdr:rowOff>
    </xdr:from>
    <xdr:to>
      <xdr:col>6</xdr:col>
      <xdr:colOff>3312134</xdr:colOff>
      <xdr:row>22</xdr:row>
      <xdr:rowOff>182232</xdr:rowOff>
    </xdr:to>
    <xdr:pic>
      <xdr:nvPicPr>
        <xdr:cNvPr id="24" name="Picture 23">
          <a:hlinkClick xmlns:r="http://schemas.openxmlformats.org/officeDocument/2006/relationships" r:id="rId19"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503275" y="5020323"/>
          <a:ext cx="181584" cy="181584"/>
        </a:xfrm>
        <a:prstGeom prst="rect">
          <a:avLst/>
        </a:prstGeom>
      </xdr:spPr>
    </xdr:pic>
    <xdr:clientData fPrintsWithSheet="0"/>
  </xdr:twoCellAnchor>
  <xdr:twoCellAnchor editAs="oneCell">
    <xdr:from>
      <xdr:col>6</xdr:col>
      <xdr:colOff>3130550</xdr:colOff>
      <xdr:row>26</xdr:row>
      <xdr:rowOff>648</xdr:rowOff>
    </xdr:from>
    <xdr:to>
      <xdr:col>6</xdr:col>
      <xdr:colOff>3312134</xdr:colOff>
      <xdr:row>26</xdr:row>
      <xdr:rowOff>182232</xdr:rowOff>
    </xdr:to>
    <xdr:pic>
      <xdr:nvPicPr>
        <xdr:cNvPr id="25" name="Picture 24">
          <a:hlinkClick xmlns:r="http://schemas.openxmlformats.org/officeDocument/2006/relationships" r:id="rId20"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503275" y="5972823"/>
          <a:ext cx="181584" cy="181584"/>
        </a:xfrm>
        <a:prstGeom prst="rect">
          <a:avLst/>
        </a:prstGeom>
      </xdr:spPr>
    </xdr:pic>
    <xdr:clientData fPrintsWithSheet="0"/>
  </xdr:twoCellAnchor>
  <xdr:twoCellAnchor editAs="oneCell">
    <xdr:from>
      <xdr:col>6</xdr:col>
      <xdr:colOff>3130550</xdr:colOff>
      <xdr:row>30</xdr:row>
      <xdr:rowOff>648</xdr:rowOff>
    </xdr:from>
    <xdr:to>
      <xdr:col>6</xdr:col>
      <xdr:colOff>3312134</xdr:colOff>
      <xdr:row>30</xdr:row>
      <xdr:rowOff>182232</xdr:rowOff>
    </xdr:to>
    <xdr:pic>
      <xdr:nvPicPr>
        <xdr:cNvPr id="26" name="Picture 25">
          <a:hlinkClick xmlns:r="http://schemas.openxmlformats.org/officeDocument/2006/relationships" r:id="rId21"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503275" y="6925323"/>
          <a:ext cx="181584" cy="181584"/>
        </a:xfrm>
        <a:prstGeom prst="rect">
          <a:avLst/>
        </a:prstGeom>
      </xdr:spPr>
    </xdr:pic>
    <xdr:clientData fPrintsWithSheet="0"/>
  </xdr:twoCellAnchor>
  <xdr:twoCellAnchor editAs="oneCell">
    <xdr:from>
      <xdr:col>6</xdr:col>
      <xdr:colOff>3130550</xdr:colOff>
      <xdr:row>34</xdr:row>
      <xdr:rowOff>648</xdr:rowOff>
    </xdr:from>
    <xdr:to>
      <xdr:col>6</xdr:col>
      <xdr:colOff>3312134</xdr:colOff>
      <xdr:row>34</xdr:row>
      <xdr:rowOff>182232</xdr:rowOff>
    </xdr:to>
    <xdr:pic>
      <xdr:nvPicPr>
        <xdr:cNvPr id="27" name="Picture 26">
          <a:hlinkClick xmlns:r="http://schemas.openxmlformats.org/officeDocument/2006/relationships" r:id="rId22"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503275" y="7877823"/>
          <a:ext cx="181584" cy="181584"/>
        </a:xfrm>
        <a:prstGeom prst="rect">
          <a:avLst/>
        </a:prstGeom>
      </xdr:spPr>
    </xdr:pic>
    <xdr:clientData fPrintsWithSheet="0"/>
  </xdr:twoCellAnchor>
  <xdr:twoCellAnchor editAs="oneCell">
    <xdr:from>
      <xdr:col>6</xdr:col>
      <xdr:colOff>3130550</xdr:colOff>
      <xdr:row>38</xdr:row>
      <xdr:rowOff>648</xdr:rowOff>
    </xdr:from>
    <xdr:to>
      <xdr:col>6</xdr:col>
      <xdr:colOff>3312134</xdr:colOff>
      <xdr:row>38</xdr:row>
      <xdr:rowOff>182232</xdr:rowOff>
    </xdr:to>
    <xdr:pic>
      <xdr:nvPicPr>
        <xdr:cNvPr id="30" name="Picture 29">
          <a:hlinkClick xmlns:r="http://schemas.openxmlformats.org/officeDocument/2006/relationships" r:id="rId23"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503275" y="8830323"/>
          <a:ext cx="181584" cy="181584"/>
        </a:xfrm>
        <a:prstGeom prst="rect">
          <a:avLst/>
        </a:prstGeom>
      </xdr:spPr>
    </xdr:pic>
    <xdr:clientData fPrintsWithSheet="0"/>
  </xdr:twoCellAnchor>
  <xdr:twoCellAnchor editAs="oneCell">
    <xdr:from>
      <xdr:col>4</xdr:col>
      <xdr:colOff>914400</xdr:colOff>
      <xdr:row>1</xdr:row>
      <xdr:rowOff>47244</xdr:rowOff>
    </xdr:from>
    <xdr:to>
      <xdr:col>6</xdr:col>
      <xdr:colOff>543306</xdr:colOff>
      <xdr:row>3</xdr:row>
      <xdr:rowOff>32004</xdr:rowOff>
    </xdr:to>
    <xdr:sp macro="[0]!PrintBS_Final" textlink="">
      <xdr:nvSpPr>
        <xdr:cNvPr id="28" name="Rectangle 27">
          <a:hlinkClick xmlns:r="http://schemas.openxmlformats.org/officeDocument/2006/relationships" r:id="rId24" tooltip="Go to General Info"/>
        </xdr:cNvPr>
        <xdr:cNvSpPr/>
      </xdr:nvSpPr>
      <xdr:spPr>
        <a:xfrm>
          <a:off x="9324975" y="304419"/>
          <a:ext cx="1591056" cy="365760"/>
        </a:xfrm>
        <a:prstGeom prst="rect">
          <a:avLst/>
        </a:prstGeom>
        <a:solidFill>
          <a:srgbClr val="F37321"/>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t>Go</a:t>
          </a:r>
          <a:r>
            <a:rPr lang="en-US" sz="1400" b="1" baseline="0"/>
            <a:t> to Gen Info</a:t>
          </a:r>
          <a:endParaRPr lang="en-US" sz="1400" b="1"/>
        </a:p>
      </xdr:txBody>
    </xdr:sp>
    <xdr:clientData fPrintsWithSheet="0"/>
  </xdr:twoCellAnchor>
  <xdr:twoCellAnchor>
    <xdr:from>
      <xdr:col>0</xdr:col>
      <xdr:colOff>28575</xdr:colOff>
      <xdr:row>1</xdr:row>
      <xdr:rowOff>38100</xdr:rowOff>
    </xdr:from>
    <xdr:to>
      <xdr:col>0</xdr:col>
      <xdr:colOff>2133600</xdr:colOff>
      <xdr:row>3</xdr:row>
      <xdr:rowOff>32004</xdr:rowOff>
    </xdr:to>
    <xdr:sp macro="[0]!PrintBS_Final" textlink="">
      <xdr:nvSpPr>
        <xdr:cNvPr id="31" name="Rectangle 30">
          <a:hlinkClick xmlns:r="http://schemas.openxmlformats.org/officeDocument/2006/relationships" r:id="rId1" tooltip="Go to Balance Sheet Simple Data Entry"/>
        </xdr:cNvPr>
        <xdr:cNvSpPr/>
      </xdr:nvSpPr>
      <xdr:spPr>
        <a:xfrm>
          <a:off x="28575" y="295275"/>
          <a:ext cx="2105025" cy="374904"/>
        </a:xfrm>
        <a:prstGeom prst="rect">
          <a:avLst/>
        </a:prstGeom>
        <a:solidFill>
          <a:srgbClr val="00B1B0"/>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t>Go</a:t>
          </a:r>
          <a:r>
            <a:rPr lang="en-US" sz="1400" b="1" baseline="0"/>
            <a:t> to </a:t>
          </a:r>
          <a:r>
            <a:rPr lang="en-US" sz="1400" b="1"/>
            <a:t>Balance Sheet Entry</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3124200</xdr:colOff>
      <xdr:row>6</xdr:row>
      <xdr:rowOff>648</xdr:rowOff>
    </xdr:from>
    <xdr:to>
      <xdr:col>0</xdr:col>
      <xdr:colOff>3305784</xdr:colOff>
      <xdr:row>6</xdr:row>
      <xdr:rowOff>182232</xdr:rowOff>
    </xdr:to>
    <xdr:pic>
      <xdr:nvPicPr>
        <xdr:cNvPr id="2" name="Picture 1">
          <a:hlinkClick xmlns:r="http://schemas.openxmlformats.org/officeDocument/2006/relationships" r:id="rId1"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24200" y="1296048"/>
          <a:ext cx="181584" cy="181584"/>
        </a:xfrm>
        <a:prstGeom prst="rect">
          <a:avLst/>
        </a:prstGeom>
      </xdr:spPr>
    </xdr:pic>
    <xdr:clientData fPrintsWithSheet="0"/>
  </xdr:twoCellAnchor>
  <xdr:twoCellAnchor editAs="oneCell">
    <xdr:from>
      <xdr:col>0</xdr:col>
      <xdr:colOff>3124200</xdr:colOff>
      <xdr:row>10</xdr:row>
      <xdr:rowOff>648</xdr:rowOff>
    </xdr:from>
    <xdr:to>
      <xdr:col>0</xdr:col>
      <xdr:colOff>3305784</xdr:colOff>
      <xdr:row>10</xdr:row>
      <xdr:rowOff>182232</xdr:rowOff>
    </xdr:to>
    <xdr:pic>
      <xdr:nvPicPr>
        <xdr:cNvPr id="3" name="Picture 2">
          <a:hlinkClick xmlns:r="http://schemas.openxmlformats.org/officeDocument/2006/relationships" r:id="rId3"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24200" y="2248548"/>
          <a:ext cx="181584" cy="181584"/>
        </a:xfrm>
        <a:prstGeom prst="rect">
          <a:avLst/>
        </a:prstGeom>
      </xdr:spPr>
    </xdr:pic>
    <xdr:clientData fPrintsWithSheet="0"/>
  </xdr:twoCellAnchor>
  <xdr:twoCellAnchor editAs="oneCell">
    <xdr:from>
      <xdr:col>0</xdr:col>
      <xdr:colOff>3124200</xdr:colOff>
      <xdr:row>14</xdr:row>
      <xdr:rowOff>648</xdr:rowOff>
    </xdr:from>
    <xdr:to>
      <xdr:col>0</xdr:col>
      <xdr:colOff>3305784</xdr:colOff>
      <xdr:row>14</xdr:row>
      <xdr:rowOff>182232</xdr:rowOff>
    </xdr:to>
    <xdr:pic>
      <xdr:nvPicPr>
        <xdr:cNvPr id="4" name="Picture 3">
          <a:hlinkClick xmlns:r="http://schemas.openxmlformats.org/officeDocument/2006/relationships" r:id="rId4"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24200" y="3201048"/>
          <a:ext cx="181584" cy="181584"/>
        </a:xfrm>
        <a:prstGeom prst="rect">
          <a:avLst/>
        </a:prstGeom>
      </xdr:spPr>
    </xdr:pic>
    <xdr:clientData fPrintsWithSheet="0"/>
  </xdr:twoCellAnchor>
  <xdr:twoCellAnchor editAs="oneCell">
    <xdr:from>
      <xdr:col>0</xdr:col>
      <xdr:colOff>3124200</xdr:colOff>
      <xdr:row>18</xdr:row>
      <xdr:rowOff>648</xdr:rowOff>
    </xdr:from>
    <xdr:to>
      <xdr:col>0</xdr:col>
      <xdr:colOff>3305784</xdr:colOff>
      <xdr:row>18</xdr:row>
      <xdr:rowOff>182232</xdr:rowOff>
    </xdr:to>
    <xdr:pic>
      <xdr:nvPicPr>
        <xdr:cNvPr id="5" name="Picture 4">
          <a:hlinkClick xmlns:r="http://schemas.openxmlformats.org/officeDocument/2006/relationships" r:id="rId5"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24200" y="4153548"/>
          <a:ext cx="181584" cy="181584"/>
        </a:xfrm>
        <a:prstGeom prst="rect">
          <a:avLst/>
        </a:prstGeom>
      </xdr:spPr>
    </xdr:pic>
    <xdr:clientData fPrintsWithSheet="0"/>
  </xdr:twoCellAnchor>
  <xdr:twoCellAnchor editAs="oneCell">
    <xdr:from>
      <xdr:col>0</xdr:col>
      <xdr:colOff>3124200</xdr:colOff>
      <xdr:row>22</xdr:row>
      <xdr:rowOff>648</xdr:rowOff>
    </xdr:from>
    <xdr:to>
      <xdr:col>0</xdr:col>
      <xdr:colOff>3305784</xdr:colOff>
      <xdr:row>22</xdr:row>
      <xdr:rowOff>182232</xdr:rowOff>
    </xdr:to>
    <xdr:pic>
      <xdr:nvPicPr>
        <xdr:cNvPr id="6" name="Picture 5">
          <a:hlinkClick xmlns:r="http://schemas.openxmlformats.org/officeDocument/2006/relationships" r:id="rId6"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24200" y="5106048"/>
          <a:ext cx="181584" cy="181584"/>
        </a:xfrm>
        <a:prstGeom prst="rect">
          <a:avLst/>
        </a:prstGeom>
      </xdr:spPr>
    </xdr:pic>
    <xdr:clientData fPrintsWithSheet="0"/>
  </xdr:twoCellAnchor>
  <xdr:twoCellAnchor editAs="oneCell">
    <xdr:from>
      <xdr:col>3</xdr:col>
      <xdr:colOff>3124200</xdr:colOff>
      <xdr:row>6</xdr:row>
      <xdr:rowOff>648</xdr:rowOff>
    </xdr:from>
    <xdr:to>
      <xdr:col>3</xdr:col>
      <xdr:colOff>3305784</xdr:colOff>
      <xdr:row>6</xdr:row>
      <xdr:rowOff>182232</xdr:rowOff>
    </xdr:to>
    <xdr:pic>
      <xdr:nvPicPr>
        <xdr:cNvPr id="7" name="Picture 6">
          <a:hlinkClick xmlns:r="http://schemas.openxmlformats.org/officeDocument/2006/relationships" r:id="rId7"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43875" y="1296048"/>
          <a:ext cx="181584" cy="181584"/>
        </a:xfrm>
        <a:prstGeom prst="rect">
          <a:avLst/>
        </a:prstGeom>
      </xdr:spPr>
    </xdr:pic>
    <xdr:clientData fPrintsWithSheet="0"/>
  </xdr:twoCellAnchor>
  <xdr:twoCellAnchor editAs="oneCell">
    <xdr:from>
      <xdr:col>3</xdr:col>
      <xdr:colOff>3124200</xdr:colOff>
      <xdr:row>10</xdr:row>
      <xdr:rowOff>648</xdr:rowOff>
    </xdr:from>
    <xdr:to>
      <xdr:col>3</xdr:col>
      <xdr:colOff>3305784</xdr:colOff>
      <xdr:row>10</xdr:row>
      <xdr:rowOff>182232</xdr:rowOff>
    </xdr:to>
    <xdr:pic>
      <xdr:nvPicPr>
        <xdr:cNvPr id="8" name="Picture 7">
          <a:hlinkClick xmlns:r="http://schemas.openxmlformats.org/officeDocument/2006/relationships" r:id="rId8"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43875" y="2248548"/>
          <a:ext cx="181584" cy="181584"/>
        </a:xfrm>
        <a:prstGeom prst="rect">
          <a:avLst/>
        </a:prstGeom>
      </xdr:spPr>
    </xdr:pic>
    <xdr:clientData fPrintsWithSheet="0"/>
  </xdr:twoCellAnchor>
  <xdr:twoCellAnchor editAs="oneCell">
    <xdr:from>
      <xdr:col>3</xdr:col>
      <xdr:colOff>3124200</xdr:colOff>
      <xdr:row>14</xdr:row>
      <xdr:rowOff>648</xdr:rowOff>
    </xdr:from>
    <xdr:to>
      <xdr:col>3</xdr:col>
      <xdr:colOff>3305784</xdr:colOff>
      <xdr:row>14</xdr:row>
      <xdr:rowOff>182232</xdr:rowOff>
    </xdr:to>
    <xdr:pic>
      <xdr:nvPicPr>
        <xdr:cNvPr id="9" name="Picture 8">
          <a:hlinkClick xmlns:r="http://schemas.openxmlformats.org/officeDocument/2006/relationships" r:id="rId9"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43875" y="3201048"/>
          <a:ext cx="181584" cy="181584"/>
        </a:xfrm>
        <a:prstGeom prst="rect">
          <a:avLst/>
        </a:prstGeom>
      </xdr:spPr>
    </xdr:pic>
    <xdr:clientData fPrintsWithSheet="0"/>
  </xdr:twoCellAnchor>
  <xdr:twoCellAnchor editAs="oneCell">
    <xdr:from>
      <xdr:col>3</xdr:col>
      <xdr:colOff>3124200</xdr:colOff>
      <xdr:row>18</xdr:row>
      <xdr:rowOff>648</xdr:rowOff>
    </xdr:from>
    <xdr:to>
      <xdr:col>3</xdr:col>
      <xdr:colOff>3305784</xdr:colOff>
      <xdr:row>18</xdr:row>
      <xdr:rowOff>182232</xdr:rowOff>
    </xdr:to>
    <xdr:pic>
      <xdr:nvPicPr>
        <xdr:cNvPr id="10" name="Picture 9">
          <a:hlinkClick xmlns:r="http://schemas.openxmlformats.org/officeDocument/2006/relationships" r:id="rId10"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43875" y="4153548"/>
          <a:ext cx="181584" cy="181584"/>
        </a:xfrm>
        <a:prstGeom prst="rect">
          <a:avLst/>
        </a:prstGeom>
      </xdr:spPr>
    </xdr:pic>
    <xdr:clientData fPrintsWithSheet="0"/>
  </xdr:twoCellAnchor>
  <xdr:twoCellAnchor editAs="oneCell">
    <xdr:from>
      <xdr:col>3</xdr:col>
      <xdr:colOff>28575</xdr:colOff>
      <xdr:row>0</xdr:row>
      <xdr:rowOff>47625</xdr:rowOff>
    </xdr:from>
    <xdr:to>
      <xdr:col>3</xdr:col>
      <xdr:colOff>1619631</xdr:colOff>
      <xdr:row>1</xdr:row>
      <xdr:rowOff>70485</xdr:rowOff>
    </xdr:to>
    <xdr:sp macro="[0]!PrintBS_Final" textlink="">
      <xdr:nvSpPr>
        <xdr:cNvPr id="11" name="Rectangle 10">
          <a:hlinkClick xmlns:r="http://schemas.openxmlformats.org/officeDocument/2006/relationships" r:id="rId11" tooltip="Go to General Info"/>
        </xdr:cNvPr>
        <xdr:cNvSpPr/>
      </xdr:nvSpPr>
      <xdr:spPr>
        <a:xfrm>
          <a:off x="5048250" y="47625"/>
          <a:ext cx="1591056" cy="365760"/>
        </a:xfrm>
        <a:prstGeom prst="rect">
          <a:avLst/>
        </a:prstGeom>
        <a:solidFill>
          <a:srgbClr val="F37321"/>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t>Go</a:t>
          </a:r>
          <a:r>
            <a:rPr lang="en-US" sz="1400" b="1" baseline="0"/>
            <a:t> to Gen Info</a:t>
          </a:r>
          <a:endParaRPr lang="en-US" sz="1400" b="1"/>
        </a:p>
      </xdr:txBody>
    </xdr:sp>
    <xdr:clientData fPrintsWithSheet="0"/>
  </xdr:twoCellAnchor>
  <xdr:twoCellAnchor>
    <xdr:from>
      <xdr:col>0</xdr:col>
      <xdr:colOff>47625</xdr:colOff>
      <xdr:row>0</xdr:row>
      <xdr:rowOff>47625</xdr:rowOff>
    </xdr:from>
    <xdr:to>
      <xdr:col>0</xdr:col>
      <xdr:colOff>2171700</xdr:colOff>
      <xdr:row>1</xdr:row>
      <xdr:rowOff>76200</xdr:rowOff>
    </xdr:to>
    <xdr:sp macro="[0]!PrintBS_Final" textlink="">
      <xdr:nvSpPr>
        <xdr:cNvPr id="12" name="Rectangle 11">
          <a:hlinkClick xmlns:r="http://schemas.openxmlformats.org/officeDocument/2006/relationships" r:id="rId12" tooltip="Go to Balance Sheet Simple Data Entry"/>
        </xdr:cNvPr>
        <xdr:cNvSpPr/>
      </xdr:nvSpPr>
      <xdr:spPr>
        <a:xfrm>
          <a:off x="47625" y="47625"/>
          <a:ext cx="2124075" cy="371475"/>
        </a:xfrm>
        <a:prstGeom prst="rect">
          <a:avLst/>
        </a:prstGeom>
        <a:solidFill>
          <a:srgbClr val="00B1B0"/>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t>Go</a:t>
          </a:r>
          <a:r>
            <a:rPr lang="en-US" sz="1400" b="1" baseline="0"/>
            <a:t> to </a:t>
          </a:r>
          <a:r>
            <a:rPr lang="en-US" sz="1400" b="1"/>
            <a:t>Balance Sheet Entry</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editAs="oneCell">
    <xdr:from>
      <xdr:col>2</xdr:col>
      <xdr:colOff>1209675</xdr:colOff>
      <xdr:row>3</xdr:row>
      <xdr:rowOff>0</xdr:rowOff>
    </xdr:from>
    <xdr:to>
      <xdr:col>2</xdr:col>
      <xdr:colOff>1502283</xdr:colOff>
      <xdr:row>3</xdr:row>
      <xdr:rowOff>292608</xdr:rowOff>
    </xdr:to>
    <xdr:pic>
      <xdr:nvPicPr>
        <xdr:cNvPr id="2" name="Picture 1">
          <a:hlinkClick xmlns:r="http://schemas.openxmlformats.org/officeDocument/2006/relationships" r:id="rId1" tooltip="Go back to simple entry"/>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76650" y="942975"/>
          <a:ext cx="292608" cy="292608"/>
        </a:xfrm>
        <a:prstGeom prst="rect">
          <a:avLst/>
        </a:prstGeom>
      </xdr:spPr>
    </xdr:pic>
    <xdr:clientData/>
  </xdr:twoCellAnchor>
  <xdr:twoCellAnchor editAs="oneCell">
    <xdr:from>
      <xdr:col>2</xdr:col>
      <xdr:colOff>1209675</xdr:colOff>
      <xdr:row>9</xdr:row>
      <xdr:rowOff>0</xdr:rowOff>
    </xdr:from>
    <xdr:to>
      <xdr:col>2</xdr:col>
      <xdr:colOff>1504950</xdr:colOff>
      <xdr:row>9</xdr:row>
      <xdr:rowOff>295275</xdr:rowOff>
    </xdr:to>
    <xdr:pic>
      <xdr:nvPicPr>
        <xdr:cNvPr id="3" name="Picture 2">
          <a:hlinkClick xmlns:r="http://schemas.openxmlformats.org/officeDocument/2006/relationships" r:id="rId3" tooltip="Go back to simple entry"/>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676650" y="2828925"/>
          <a:ext cx="295275" cy="295275"/>
        </a:xfrm>
        <a:prstGeom prst="rect">
          <a:avLst/>
        </a:prstGeom>
      </xdr:spPr>
    </xdr:pic>
    <xdr:clientData/>
  </xdr:twoCellAnchor>
  <xdr:twoCellAnchor editAs="oneCell">
    <xdr:from>
      <xdr:col>2</xdr:col>
      <xdr:colOff>1209675</xdr:colOff>
      <xdr:row>15</xdr:row>
      <xdr:rowOff>0</xdr:rowOff>
    </xdr:from>
    <xdr:to>
      <xdr:col>2</xdr:col>
      <xdr:colOff>1504950</xdr:colOff>
      <xdr:row>15</xdr:row>
      <xdr:rowOff>295275</xdr:rowOff>
    </xdr:to>
    <xdr:pic>
      <xdr:nvPicPr>
        <xdr:cNvPr id="4" name="Picture 3">
          <a:hlinkClick xmlns:r="http://schemas.openxmlformats.org/officeDocument/2006/relationships" r:id="rId5" tooltip="Go back to simple entry"/>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676650" y="4714875"/>
          <a:ext cx="295275" cy="295275"/>
        </a:xfrm>
        <a:prstGeom prst="rect">
          <a:avLst/>
        </a:prstGeom>
      </xdr:spPr>
    </xdr:pic>
    <xdr:clientData/>
  </xdr:twoCellAnchor>
  <xdr:twoCellAnchor editAs="oneCell">
    <xdr:from>
      <xdr:col>2</xdr:col>
      <xdr:colOff>1209675</xdr:colOff>
      <xdr:row>21</xdr:row>
      <xdr:rowOff>0</xdr:rowOff>
    </xdr:from>
    <xdr:to>
      <xdr:col>2</xdr:col>
      <xdr:colOff>1504950</xdr:colOff>
      <xdr:row>21</xdr:row>
      <xdr:rowOff>295275</xdr:rowOff>
    </xdr:to>
    <xdr:pic>
      <xdr:nvPicPr>
        <xdr:cNvPr id="5" name="Picture 4">
          <a:hlinkClick xmlns:r="http://schemas.openxmlformats.org/officeDocument/2006/relationships" r:id="rId6" tooltip="Go back to simple entry"/>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676650" y="6600825"/>
          <a:ext cx="295275" cy="295275"/>
        </a:xfrm>
        <a:prstGeom prst="rect">
          <a:avLst/>
        </a:prstGeom>
      </xdr:spPr>
    </xdr:pic>
    <xdr:clientData/>
  </xdr:twoCellAnchor>
  <xdr:twoCellAnchor editAs="oneCell">
    <xdr:from>
      <xdr:col>2</xdr:col>
      <xdr:colOff>1209675</xdr:colOff>
      <xdr:row>27</xdr:row>
      <xdr:rowOff>0</xdr:rowOff>
    </xdr:from>
    <xdr:to>
      <xdr:col>2</xdr:col>
      <xdr:colOff>1504950</xdr:colOff>
      <xdr:row>27</xdr:row>
      <xdr:rowOff>295275</xdr:rowOff>
    </xdr:to>
    <xdr:pic>
      <xdr:nvPicPr>
        <xdr:cNvPr id="6" name="Picture 5">
          <a:hlinkClick xmlns:r="http://schemas.openxmlformats.org/officeDocument/2006/relationships" r:id="rId7" tooltip="Go back to simple entry"/>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676650" y="8486775"/>
          <a:ext cx="295275" cy="295275"/>
        </a:xfrm>
        <a:prstGeom prst="rect">
          <a:avLst/>
        </a:prstGeom>
      </xdr:spPr>
    </xdr:pic>
    <xdr:clientData/>
  </xdr:twoCellAnchor>
  <xdr:twoCellAnchor editAs="oneCell">
    <xdr:from>
      <xdr:col>2</xdr:col>
      <xdr:colOff>1209675</xdr:colOff>
      <xdr:row>33</xdr:row>
      <xdr:rowOff>0</xdr:rowOff>
    </xdr:from>
    <xdr:to>
      <xdr:col>2</xdr:col>
      <xdr:colOff>1504950</xdr:colOff>
      <xdr:row>33</xdr:row>
      <xdr:rowOff>295275</xdr:rowOff>
    </xdr:to>
    <xdr:pic>
      <xdr:nvPicPr>
        <xdr:cNvPr id="7" name="Picture 6">
          <a:hlinkClick xmlns:r="http://schemas.openxmlformats.org/officeDocument/2006/relationships" r:id="rId8" tooltip="Go back to simple entry"/>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676650" y="10372725"/>
          <a:ext cx="295275" cy="295275"/>
        </a:xfrm>
        <a:prstGeom prst="rect">
          <a:avLst/>
        </a:prstGeom>
      </xdr:spPr>
    </xdr:pic>
    <xdr:clientData/>
  </xdr:twoCellAnchor>
  <xdr:twoCellAnchor editAs="oneCell">
    <xdr:from>
      <xdr:col>2</xdr:col>
      <xdr:colOff>1209675</xdr:colOff>
      <xdr:row>39</xdr:row>
      <xdr:rowOff>0</xdr:rowOff>
    </xdr:from>
    <xdr:to>
      <xdr:col>2</xdr:col>
      <xdr:colOff>1504950</xdr:colOff>
      <xdr:row>39</xdr:row>
      <xdr:rowOff>295275</xdr:rowOff>
    </xdr:to>
    <xdr:pic>
      <xdr:nvPicPr>
        <xdr:cNvPr id="8" name="Picture 7">
          <a:hlinkClick xmlns:r="http://schemas.openxmlformats.org/officeDocument/2006/relationships" r:id="rId9" tooltip="Go back to simple entry"/>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676650" y="12258675"/>
          <a:ext cx="295275" cy="295275"/>
        </a:xfrm>
        <a:prstGeom prst="rect">
          <a:avLst/>
        </a:prstGeom>
      </xdr:spPr>
    </xdr:pic>
    <xdr:clientData/>
  </xdr:twoCellAnchor>
  <xdr:twoCellAnchor editAs="oneCell">
    <xdr:from>
      <xdr:col>10</xdr:col>
      <xdr:colOff>28575</xdr:colOff>
      <xdr:row>0</xdr:row>
      <xdr:rowOff>38100</xdr:rowOff>
    </xdr:from>
    <xdr:to>
      <xdr:col>11</xdr:col>
      <xdr:colOff>771906</xdr:colOff>
      <xdr:row>1</xdr:row>
      <xdr:rowOff>116967</xdr:rowOff>
    </xdr:to>
    <xdr:sp macro="[0]!PrintBS_Final" textlink="">
      <xdr:nvSpPr>
        <xdr:cNvPr id="9" name="Rectangle 8">
          <a:hlinkClick xmlns:r="http://schemas.openxmlformats.org/officeDocument/2006/relationships" r:id="rId10" tooltip="Go to General Info"/>
        </xdr:cNvPr>
        <xdr:cNvSpPr/>
      </xdr:nvSpPr>
      <xdr:spPr>
        <a:xfrm>
          <a:off x="7200900" y="38100"/>
          <a:ext cx="1591056" cy="393192"/>
        </a:xfrm>
        <a:prstGeom prst="rect">
          <a:avLst/>
        </a:prstGeom>
        <a:solidFill>
          <a:srgbClr val="F37321"/>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t>Go</a:t>
          </a:r>
          <a:r>
            <a:rPr lang="en-US" sz="1400" b="1" baseline="0"/>
            <a:t> to Gen Info</a:t>
          </a:r>
          <a:endParaRPr lang="en-US" sz="1400" b="1"/>
        </a:p>
      </xdr:txBody>
    </xdr:sp>
    <xdr:clientData fPrintsWithSheet="0"/>
  </xdr:twoCellAnchor>
  <xdr:twoCellAnchor>
    <xdr:from>
      <xdr:col>2</xdr:col>
      <xdr:colOff>38100</xdr:colOff>
      <xdr:row>0</xdr:row>
      <xdr:rowOff>38100</xdr:rowOff>
    </xdr:from>
    <xdr:to>
      <xdr:col>4</xdr:col>
      <xdr:colOff>104775</xdr:colOff>
      <xdr:row>1</xdr:row>
      <xdr:rowOff>98679</xdr:rowOff>
    </xdr:to>
    <xdr:sp macro="[0]!PrintBS_Final" textlink="">
      <xdr:nvSpPr>
        <xdr:cNvPr id="10" name="Rectangle 9">
          <a:hlinkClick xmlns:r="http://schemas.openxmlformats.org/officeDocument/2006/relationships" r:id="rId11" tooltip="Go to Balance Sheet Simple Data Entry"/>
        </xdr:cNvPr>
        <xdr:cNvSpPr/>
      </xdr:nvSpPr>
      <xdr:spPr>
        <a:xfrm>
          <a:off x="2505075" y="38100"/>
          <a:ext cx="2200275" cy="374904"/>
        </a:xfrm>
        <a:prstGeom prst="rect">
          <a:avLst/>
        </a:prstGeom>
        <a:solidFill>
          <a:srgbClr val="00B1B0"/>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t>Go</a:t>
          </a:r>
          <a:r>
            <a:rPr lang="en-US" sz="1400" b="1" baseline="0"/>
            <a:t> to </a:t>
          </a:r>
          <a:r>
            <a:rPr lang="en-US" sz="1400" b="1"/>
            <a:t>Balance Sheet Entry</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28576</xdr:colOff>
      <xdr:row>9</xdr:row>
      <xdr:rowOff>47625</xdr:rowOff>
    </xdr:from>
    <xdr:to>
      <xdr:col>1</xdr:col>
      <xdr:colOff>714376</xdr:colOff>
      <xdr:row>15</xdr:row>
      <xdr:rowOff>91487</xdr:rowOff>
    </xdr:to>
    <xdr:pic>
      <xdr:nvPicPr>
        <xdr:cNvPr id="8" name="Picture 7"/>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6" y="1181100"/>
          <a:ext cx="685800" cy="691562"/>
        </a:xfrm>
        <a:prstGeom prst="rect">
          <a:avLst/>
        </a:prstGeom>
      </xdr:spPr>
    </xdr:pic>
    <xdr:clientData/>
  </xdr:twoCellAnchor>
  <xdr:twoCellAnchor editAs="oneCell">
    <xdr:from>
      <xdr:col>3</xdr:col>
      <xdr:colOff>866775</xdr:colOff>
      <xdr:row>132</xdr:row>
      <xdr:rowOff>648</xdr:rowOff>
    </xdr:from>
    <xdr:to>
      <xdr:col>4</xdr:col>
      <xdr:colOff>609</xdr:colOff>
      <xdr:row>132</xdr:row>
      <xdr:rowOff>182232</xdr:rowOff>
    </xdr:to>
    <xdr:pic>
      <xdr:nvPicPr>
        <xdr:cNvPr id="3" name="Picture 2">
          <a:hlinkClick xmlns:r="http://schemas.openxmlformats.org/officeDocument/2006/relationships" r:id="rId2" tooltip="Go back to General Info to change personal details option"/>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762625" y="17555223"/>
          <a:ext cx="181584" cy="181584"/>
        </a:xfrm>
        <a:prstGeom prst="rect">
          <a:avLst/>
        </a:prstGeom>
      </xdr:spPr>
    </xdr:pic>
    <xdr:clientData fPrintsWithSheet="0"/>
  </xdr:twoCellAnchor>
  <xdr:twoCellAnchor editAs="oneCell">
    <xdr:from>
      <xdr:col>1</xdr:col>
      <xdr:colOff>3444875</xdr:colOff>
      <xdr:row>16</xdr:row>
      <xdr:rowOff>63500</xdr:rowOff>
    </xdr:from>
    <xdr:to>
      <xdr:col>1</xdr:col>
      <xdr:colOff>3706813</xdr:colOff>
      <xdr:row>17</xdr:row>
      <xdr:rowOff>134938</xdr:rowOff>
    </xdr:to>
    <xdr:pic>
      <xdr:nvPicPr>
        <xdr:cNvPr id="6" name="Picture 5">
          <a:hlinkClick xmlns:r="http://schemas.openxmlformats.org/officeDocument/2006/relationships" r:id="rId4" tooltip="Go back to General Info to change to Monthly Plan"/>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444875" y="1292225"/>
          <a:ext cx="261938" cy="261938"/>
        </a:xfrm>
        <a:prstGeom prst="rect">
          <a:avLst/>
        </a:prstGeom>
      </xdr:spPr>
    </xdr:pic>
    <xdr:clientData fPrintsWithSheet="0"/>
  </xdr:twoCellAnchor>
  <xdr:twoCellAnchor editAs="oneCell">
    <xdr:from>
      <xdr:col>1</xdr:col>
      <xdr:colOff>3565624</xdr:colOff>
      <xdr:row>76</xdr:row>
      <xdr:rowOff>22412</xdr:rowOff>
    </xdr:from>
    <xdr:to>
      <xdr:col>1</xdr:col>
      <xdr:colOff>3748504</xdr:colOff>
      <xdr:row>77</xdr:row>
      <xdr:rowOff>14792</xdr:rowOff>
    </xdr:to>
    <xdr:pic>
      <xdr:nvPicPr>
        <xdr:cNvPr id="9" name="Picture 8">
          <a:hlinkClick xmlns:r="http://schemas.openxmlformats.org/officeDocument/2006/relationships" r:id="rId6" tooltip="Go back to General Info to change how you sell your catch"/>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565624" y="9890312"/>
          <a:ext cx="182880" cy="182880"/>
        </a:xfrm>
        <a:prstGeom prst="rect">
          <a:avLst/>
        </a:prstGeom>
      </xdr:spPr>
    </xdr:pic>
    <xdr:clientData fPrintsWithSheet="0"/>
  </xdr:twoCellAnchor>
  <xdr:twoCellAnchor>
    <xdr:from>
      <xdr:col>4</xdr:col>
      <xdr:colOff>703170</xdr:colOff>
      <xdr:row>27</xdr:row>
      <xdr:rowOff>3922</xdr:rowOff>
    </xdr:from>
    <xdr:to>
      <xdr:col>11</xdr:col>
      <xdr:colOff>373157</xdr:colOff>
      <xdr:row>44</xdr:row>
      <xdr:rowOff>32497</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4</xdr:col>
      <xdr:colOff>549275</xdr:colOff>
      <xdr:row>43</xdr:row>
      <xdr:rowOff>127186</xdr:rowOff>
    </xdr:from>
    <xdr:to>
      <xdr:col>11</xdr:col>
      <xdr:colOff>539750</xdr:colOff>
      <xdr:row>66</xdr:row>
      <xdr:rowOff>165286</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5</xdr:col>
      <xdr:colOff>41090</xdr:colOff>
      <xdr:row>69</xdr:row>
      <xdr:rowOff>90581</xdr:rowOff>
    </xdr:from>
    <xdr:to>
      <xdr:col>11</xdr:col>
      <xdr:colOff>449357</xdr:colOff>
      <xdr:row>88</xdr:row>
      <xdr:rowOff>59392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4</xdr:col>
      <xdr:colOff>641538</xdr:colOff>
      <xdr:row>88</xdr:row>
      <xdr:rowOff>56030</xdr:rowOff>
    </xdr:from>
    <xdr:to>
      <xdr:col>11</xdr:col>
      <xdr:colOff>539750</xdr:colOff>
      <xdr:row>113</xdr:row>
      <xdr:rowOff>132992</xdr:rowOff>
    </xdr:to>
    <xdr:graphicFrame macro="">
      <xdr:nvGraphicFramePr>
        <xdr:cNvPr id="11" name="Chart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xdr:col>
      <xdr:colOff>709332</xdr:colOff>
      <xdr:row>9</xdr:row>
      <xdr:rowOff>111125</xdr:rowOff>
    </xdr:from>
    <xdr:to>
      <xdr:col>11</xdr:col>
      <xdr:colOff>361950</xdr:colOff>
      <xdr:row>26</xdr:row>
      <xdr:rowOff>132603</xdr:rowOff>
    </xdr:to>
    <xdr:graphicFrame macro="">
      <xdr:nvGraphicFramePr>
        <xdr:cNvPr id="12"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mc:AlternateContent xmlns:mc="http://schemas.openxmlformats.org/markup-compatibility/2006">
    <mc:Choice xmlns:a14="http://schemas.microsoft.com/office/drawing/2010/main" Requires="a14">
      <xdr:twoCellAnchor editAs="oneCell">
        <xdr:from>
          <xdr:col>4</xdr:col>
          <xdr:colOff>158759</xdr:colOff>
          <xdr:row>17</xdr:row>
          <xdr:rowOff>158749</xdr:rowOff>
        </xdr:from>
        <xdr:to>
          <xdr:col>4</xdr:col>
          <xdr:colOff>323351</xdr:colOff>
          <xdr:row>19</xdr:row>
          <xdr:rowOff>5841</xdr:rowOff>
        </xdr:to>
        <xdr:pic>
          <xdr:nvPicPr>
            <xdr:cNvPr id="14" name="Picture 13">
              <a:hlinkClick xmlns:r="http://schemas.openxmlformats.org/officeDocument/2006/relationships" r:id="rId12" tooltip="Go to monthly input"/>
            </xdr:cNvPr>
            <xdr:cNvPicPr>
              <a:picLocks noChangeAspect="1"/>
              <a:extLst>
                <a:ext uri="{84589F7E-364E-4C9E-8A38-B11213B215E9}">
                  <a14:cameraTool cellRange="Picture" spid="_x0000_s94552"/>
                </a:ext>
              </a:extLst>
            </xdr:cNvPicPr>
          </xdr:nvPicPr>
          <xdr:blipFill>
            <a:blip xmlns:r="http://schemas.openxmlformats.org/officeDocument/2006/relationships" r:embed="rId13"/>
            <a:stretch>
              <a:fillRect/>
            </a:stretch>
          </xdr:blipFill>
          <xdr:spPr>
            <a:xfrm>
              <a:off x="6103947" y="2285999"/>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22</xdr:row>
          <xdr:rowOff>158749</xdr:rowOff>
        </xdr:from>
        <xdr:to>
          <xdr:col>4</xdr:col>
          <xdr:colOff>323351</xdr:colOff>
          <xdr:row>24</xdr:row>
          <xdr:rowOff>5841</xdr:rowOff>
        </xdr:to>
        <xdr:pic>
          <xdr:nvPicPr>
            <xdr:cNvPr id="15" name="Picture 14">
              <a:hlinkClick xmlns:r="http://schemas.openxmlformats.org/officeDocument/2006/relationships" r:id="rId14" tooltip="Go to monthly input"/>
            </xdr:cNvPr>
            <xdr:cNvPicPr>
              <a:picLocks noChangeAspect="1"/>
              <a:extLst>
                <a:ext uri="{84589F7E-364E-4C9E-8A38-B11213B215E9}">
                  <a14:cameraTool cellRange="Picture" spid="_x0000_s94553"/>
                </a:ext>
              </a:extLst>
            </xdr:cNvPicPr>
          </xdr:nvPicPr>
          <xdr:blipFill>
            <a:blip xmlns:r="http://schemas.openxmlformats.org/officeDocument/2006/relationships" r:embed="rId13"/>
            <a:stretch>
              <a:fillRect/>
            </a:stretch>
          </xdr:blipFill>
          <xdr:spPr>
            <a:xfrm>
              <a:off x="6103947" y="3079749"/>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18</xdr:row>
          <xdr:rowOff>158749</xdr:rowOff>
        </xdr:from>
        <xdr:to>
          <xdr:col>4</xdr:col>
          <xdr:colOff>323351</xdr:colOff>
          <xdr:row>20</xdr:row>
          <xdr:rowOff>5841</xdr:rowOff>
        </xdr:to>
        <xdr:pic>
          <xdr:nvPicPr>
            <xdr:cNvPr id="16" name="Picture 15">
              <a:hlinkClick xmlns:r="http://schemas.openxmlformats.org/officeDocument/2006/relationships" r:id="rId15" tooltip="Go to monthly input"/>
            </xdr:cNvPr>
            <xdr:cNvPicPr>
              <a:picLocks noChangeAspect="1"/>
              <a:extLst>
                <a:ext uri="{84589F7E-364E-4C9E-8A38-B11213B215E9}">
                  <a14:cameraTool cellRange="Picture" spid="_x0000_s94554"/>
                </a:ext>
              </a:extLst>
            </xdr:cNvPicPr>
          </xdr:nvPicPr>
          <xdr:blipFill>
            <a:blip xmlns:r="http://schemas.openxmlformats.org/officeDocument/2006/relationships" r:embed="rId13"/>
            <a:stretch>
              <a:fillRect/>
            </a:stretch>
          </xdr:blipFill>
          <xdr:spPr>
            <a:xfrm>
              <a:off x="6103947" y="2444749"/>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19</xdr:row>
          <xdr:rowOff>158749</xdr:rowOff>
        </xdr:from>
        <xdr:to>
          <xdr:col>4</xdr:col>
          <xdr:colOff>323351</xdr:colOff>
          <xdr:row>21</xdr:row>
          <xdr:rowOff>5841</xdr:rowOff>
        </xdr:to>
        <xdr:pic>
          <xdr:nvPicPr>
            <xdr:cNvPr id="17" name="Picture 16">
              <a:hlinkClick xmlns:r="http://schemas.openxmlformats.org/officeDocument/2006/relationships" r:id="rId16" tooltip="Go to monthly input"/>
            </xdr:cNvPr>
            <xdr:cNvPicPr>
              <a:picLocks noChangeAspect="1"/>
              <a:extLst>
                <a:ext uri="{84589F7E-364E-4C9E-8A38-B11213B215E9}">
                  <a14:cameraTool cellRange="Picture" spid="_x0000_s94555"/>
                </a:ext>
              </a:extLst>
            </xdr:cNvPicPr>
          </xdr:nvPicPr>
          <xdr:blipFill>
            <a:blip xmlns:r="http://schemas.openxmlformats.org/officeDocument/2006/relationships" r:embed="rId13"/>
            <a:stretch>
              <a:fillRect/>
            </a:stretch>
          </xdr:blipFill>
          <xdr:spPr>
            <a:xfrm>
              <a:off x="6103947" y="2603499"/>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20</xdr:row>
          <xdr:rowOff>158749</xdr:rowOff>
        </xdr:from>
        <xdr:to>
          <xdr:col>4</xdr:col>
          <xdr:colOff>323351</xdr:colOff>
          <xdr:row>22</xdr:row>
          <xdr:rowOff>5841</xdr:rowOff>
        </xdr:to>
        <xdr:pic>
          <xdr:nvPicPr>
            <xdr:cNvPr id="18" name="Picture 17">
              <a:hlinkClick xmlns:r="http://schemas.openxmlformats.org/officeDocument/2006/relationships" r:id="rId17" tooltip="Go to monthly input"/>
            </xdr:cNvPr>
            <xdr:cNvPicPr>
              <a:picLocks noChangeAspect="1"/>
              <a:extLst>
                <a:ext uri="{84589F7E-364E-4C9E-8A38-B11213B215E9}">
                  <a14:cameraTool cellRange="Picture" spid="_x0000_s94556"/>
                </a:ext>
              </a:extLst>
            </xdr:cNvPicPr>
          </xdr:nvPicPr>
          <xdr:blipFill>
            <a:blip xmlns:r="http://schemas.openxmlformats.org/officeDocument/2006/relationships" r:embed="rId13"/>
            <a:stretch>
              <a:fillRect/>
            </a:stretch>
          </xdr:blipFill>
          <xdr:spPr>
            <a:xfrm>
              <a:off x="6103947" y="2762249"/>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21</xdr:row>
          <xdr:rowOff>158749</xdr:rowOff>
        </xdr:from>
        <xdr:to>
          <xdr:col>4</xdr:col>
          <xdr:colOff>323351</xdr:colOff>
          <xdr:row>23</xdr:row>
          <xdr:rowOff>5841</xdr:rowOff>
        </xdr:to>
        <xdr:pic>
          <xdr:nvPicPr>
            <xdr:cNvPr id="19" name="Picture 18">
              <a:hlinkClick xmlns:r="http://schemas.openxmlformats.org/officeDocument/2006/relationships" r:id="rId18" tooltip="Go to monthly input"/>
            </xdr:cNvPr>
            <xdr:cNvPicPr>
              <a:picLocks noChangeAspect="1"/>
              <a:extLst>
                <a:ext uri="{84589F7E-364E-4C9E-8A38-B11213B215E9}">
                  <a14:cameraTool cellRange="Picture" spid="_x0000_s94557"/>
                </a:ext>
              </a:extLst>
            </xdr:cNvPicPr>
          </xdr:nvPicPr>
          <xdr:blipFill>
            <a:blip xmlns:r="http://schemas.openxmlformats.org/officeDocument/2006/relationships" r:embed="rId13"/>
            <a:stretch>
              <a:fillRect/>
            </a:stretch>
          </xdr:blipFill>
          <xdr:spPr>
            <a:xfrm>
              <a:off x="6103947" y="2920999"/>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26</xdr:row>
          <xdr:rowOff>158749</xdr:rowOff>
        </xdr:from>
        <xdr:to>
          <xdr:col>4</xdr:col>
          <xdr:colOff>323351</xdr:colOff>
          <xdr:row>27</xdr:row>
          <xdr:rowOff>164591</xdr:rowOff>
        </xdr:to>
        <xdr:pic>
          <xdr:nvPicPr>
            <xdr:cNvPr id="29" name="Picture 28">
              <a:hlinkClick xmlns:r="http://schemas.openxmlformats.org/officeDocument/2006/relationships" r:id="rId19" tooltip="Go to monthly input"/>
            </xdr:cNvPr>
            <xdr:cNvPicPr>
              <a:picLocks noChangeAspect="1"/>
              <a:extLst>
                <a:ext uri="{84589F7E-364E-4C9E-8A38-B11213B215E9}">
                  <a14:cameraTool cellRange="Picture" spid="_x0000_s94558"/>
                </a:ext>
              </a:extLst>
            </xdr:cNvPicPr>
          </xdr:nvPicPr>
          <xdr:blipFill>
            <a:blip xmlns:r="http://schemas.openxmlformats.org/officeDocument/2006/relationships" r:embed="rId13"/>
            <a:stretch>
              <a:fillRect/>
            </a:stretch>
          </xdr:blipFill>
          <xdr:spPr>
            <a:xfrm>
              <a:off x="6103947" y="3643312"/>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27</xdr:row>
          <xdr:rowOff>174624</xdr:rowOff>
        </xdr:from>
        <xdr:to>
          <xdr:col>4</xdr:col>
          <xdr:colOff>323351</xdr:colOff>
          <xdr:row>28</xdr:row>
          <xdr:rowOff>164591</xdr:rowOff>
        </xdr:to>
        <xdr:pic>
          <xdr:nvPicPr>
            <xdr:cNvPr id="30" name="Picture 29">
              <a:hlinkClick xmlns:r="http://schemas.openxmlformats.org/officeDocument/2006/relationships" r:id="rId20" tooltip="Go to monthly input"/>
            </xdr:cNvPr>
            <xdr:cNvPicPr>
              <a:picLocks noChangeAspect="1"/>
              <a:extLst>
                <a:ext uri="{84589F7E-364E-4C9E-8A38-B11213B215E9}">
                  <a14:cameraTool cellRange="Picture" spid="_x0000_s94559"/>
                </a:ext>
              </a:extLst>
            </xdr:cNvPicPr>
          </xdr:nvPicPr>
          <xdr:blipFill>
            <a:blip xmlns:r="http://schemas.openxmlformats.org/officeDocument/2006/relationships" r:embed="rId13"/>
            <a:stretch>
              <a:fillRect/>
            </a:stretch>
          </xdr:blipFill>
          <xdr:spPr>
            <a:xfrm>
              <a:off x="6103947" y="3817937"/>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28</xdr:row>
          <xdr:rowOff>174624</xdr:rowOff>
        </xdr:from>
        <xdr:to>
          <xdr:col>4</xdr:col>
          <xdr:colOff>323351</xdr:colOff>
          <xdr:row>29</xdr:row>
          <xdr:rowOff>164591</xdr:rowOff>
        </xdr:to>
        <xdr:pic>
          <xdr:nvPicPr>
            <xdr:cNvPr id="31" name="Picture 30">
              <a:hlinkClick xmlns:r="http://schemas.openxmlformats.org/officeDocument/2006/relationships" r:id="rId21" tooltip="Go to monthly input"/>
            </xdr:cNvPr>
            <xdr:cNvPicPr>
              <a:picLocks noChangeAspect="1"/>
              <a:extLst>
                <a:ext uri="{84589F7E-364E-4C9E-8A38-B11213B215E9}">
                  <a14:cameraTool cellRange="Picture" spid="_x0000_s94560"/>
                </a:ext>
              </a:extLst>
            </xdr:cNvPicPr>
          </xdr:nvPicPr>
          <xdr:blipFill>
            <a:blip xmlns:r="http://schemas.openxmlformats.org/officeDocument/2006/relationships" r:embed="rId13"/>
            <a:stretch>
              <a:fillRect/>
            </a:stretch>
          </xdr:blipFill>
          <xdr:spPr>
            <a:xfrm>
              <a:off x="6103947" y="3992562"/>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29</xdr:row>
          <xdr:rowOff>174624</xdr:rowOff>
        </xdr:from>
        <xdr:to>
          <xdr:col>4</xdr:col>
          <xdr:colOff>323351</xdr:colOff>
          <xdr:row>30</xdr:row>
          <xdr:rowOff>164591</xdr:rowOff>
        </xdr:to>
        <xdr:pic>
          <xdr:nvPicPr>
            <xdr:cNvPr id="32" name="Picture 31">
              <a:hlinkClick xmlns:r="http://schemas.openxmlformats.org/officeDocument/2006/relationships" r:id="rId22" tooltip="Go to monthly input"/>
            </xdr:cNvPr>
            <xdr:cNvPicPr>
              <a:picLocks noChangeAspect="1"/>
              <a:extLst>
                <a:ext uri="{84589F7E-364E-4C9E-8A38-B11213B215E9}">
                  <a14:cameraTool cellRange="Picture" spid="_x0000_s94561"/>
                </a:ext>
              </a:extLst>
            </xdr:cNvPicPr>
          </xdr:nvPicPr>
          <xdr:blipFill>
            <a:blip xmlns:r="http://schemas.openxmlformats.org/officeDocument/2006/relationships" r:embed="rId13"/>
            <a:stretch>
              <a:fillRect/>
            </a:stretch>
          </xdr:blipFill>
          <xdr:spPr>
            <a:xfrm>
              <a:off x="6103947" y="4167187"/>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30</xdr:row>
          <xdr:rowOff>174624</xdr:rowOff>
        </xdr:from>
        <xdr:to>
          <xdr:col>4</xdr:col>
          <xdr:colOff>323351</xdr:colOff>
          <xdr:row>31</xdr:row>
          <xdr:rowOff>164591</xdr:rowOff>
        </xdr:to>
        <xdr:pic>
          <xdr:nvPicPr>
            <xdr:cNvPr id="33" name="Picture 32">
              <a:hlinkClick xmlns:r="http://schemas.openxmlformats.org/officeDocument/2006/relationships" r:id="rId23" tooltip="Go to monthly input"/>
            </xdr:cNvPr>
            <xdr:cNvPicPr>
              <a:picLocks noChangeAspect="1"/>
              <a:extLst>
                <a:ext uri="{84589F7E-364E-4C9E-8A38-B11213B215E9}">
                  <a14:cameraTool cellRange="Picture" spid="_x0000_s94562"/>
                </a:ext>
              </a:extLst>
            </xdr:cNvPicPr>
          </xdr:nvPicPr>
          <xdr:blipFill>
            <a:blip xmlns:r="http://schemas.openxmlformats.org/officeDocument/2006/relationships" r:embed="rId13"/>
            <a:stretch>
              <a:fillRect/>
            </a:stretch>
          </xdr:blipFill>
          <xdr:spPr>
            <a:xfrm>
              <a:off x="6103947" y="4341812"/>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31</xdr:row>
          <xdr:rowOff>174624</xdr:rowOff>
        </xdr:from>
        <xdr:to>
          <xdr:col>4</xdr:col>
          <xdr:colOff>323351</xdr:colOff>
          <xdr:row>32</xdr:row>
          <xdr:rowOff>164591</xdr:rowOff>
        </xdr:to>
        <xdr:pic>
          <xdr:nvPicPr>
            <xdr:cNvPr id="34" name="Picture 33">
              <a:hlinkClick xmlns:r="http://schemas.openxmlformats.org/officeDocument/2006/relationships" r:id="rId24" tooltip="Go to monthly input"/>
            </xdr:cNvPr>
            <xdr:cNvPicPr>
              <a:picLocks noChangeAspect="1"/>
              <a:extLst>
                <a:ext uri="{84589F7E-364E-4C9E-8A38-B11213B215E9}">
                  <a14:cameraTool cellRange="Picture" spid="_x0000_s94563"/>
                </a:ext>
              </a:extLst>
            </xdr:cNvPicPr>
          </xdr:nvPicPr>
          <xdr:blipFill>
            <a:blip xmlns:r="http://schemas.openxmlformats.org/officeDocument/2006/relationships" r:embed="rId13"/>
            <a:stretch>
              <a:fillRect/>
            </a:stretch>
          </xdr:blipFill>
          <xdr:spPr>
            <a:xfrm>
              <a:off x="6103947" y="4516437"/>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32</xdr:row>
          <xdr:rowOff>174624</xdr:rowOff>
        </xdr:from>
        <xdr:to>
          <xdr:col>4</xdr:col>
          <xdr:colOff>323351</xdr:colOff>
          <xdr:row>33</xdr:row>
          <xdr:rowOff>164591</xdr:rowOff>
        </xdr:to>
        <xdr:pic>
          <xdr:nvPicPr>
            <xdr:cNvPr id="35" name="Picture 34">
              <a:hlinkClick xmlns:r="http://schemas.openxmlformats.org/officeDocument/2006/relationships" r:id="rId25" tooltip="Go to monthly input"/>
            </xdr:cNvPr>
            <xdr:cNvPicPr>
              <a:picLocks noChangeAspect="1"/>
              <a:extLst>
                <a:ext uri="{84589F7E-364E-4C9E-8A38-B11213B215E9}">
                  <a14:cameraTool cellRange="Picture" spid="_x0000_s94564"/>
                </a:ext>
              </a:extLst>
            </xdr:cNvPicPr>
          </xdr:nvPicPr>
          <xdr:blipFill>
            <a:blip xmlns:r="http://schemas.openxmlformats.org/officeDocument/2006/relationships" r:embed="rId13"/>
            <a:stretch>
              <a:fillRect/>
            </a:stretch>
          </xdr:blipFill>
          <xdr:spPr>
            <a:xfrm>
              <a:off x="6103947" y="4691062"/>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33</xdr:row>
          <xdr:rowOff>174624</xdr:rowOff>
        </xdr:from>
        <xdr:to>
          <xdr:col>4</xdr:col>
          <xdr:colOff>323351</xdr:colOff>
          <xdr:row>34</xdr:row>
          <xdr:rowOff>164591</xdr:rowOff>
        </xdr:to>
        <xdr:pic>
          <xdr:nvPicPr>
            <xdr:cNvPr id="36" name="Picture 35">
              <a:hlinkClick xmlns:r="http://schemas.openxmlformats.org/officeDocument/2006/relationships" r:id="rId26" tooltip="Go to monthly input"/>
            </xdr:cNvPr>
            <xdr:cNvPicPr>
              <a:picLocks noChangeAspect="1"/>
              <a:extLst>
                <a:ext uri="{84589F7E-364E-4C9E-8A38-B11213B215E9}">
                  <a14:cameraTool cellRange="Picture" spid="_x0000_s94565"/>
                </a:ext>
              </a:extLst>
            </xdr:cNvPicPr>
          </xdr:nvPicPr>
          <xdr:blipFill>
            <a:blip xmlns:r="http://schemas.openxmlformats.org/officeDocument/2006/relationships" r:embed="rId13"/>
            <a:stretch>
              <a:fillRect/>
            </a:stretch>
          </xdr:blipFill>
          <xdr:spPr>
            <a:xfrm>
              <a:off x="6103947" y="4865687"/>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34</xdr:row>
          <xdr:rowOff>174624</xdr:rowOff>
        </xdr:from>
        <xdr:to>
          <xdr:col>4</xdr:col>
          <xdr:colOff>323351</xdr:colOff>
          <xdr:row>35</xdr:row>
          <xdr:rowOff>164591</xdr:rowOff>
        </xdr:to>
        <xdr:pic>
          <xdr:nvPicPr>
            <xdr:cNvPr id="37" name="Picture 36">
              <a:hlinkClick xmlns:r="http://schemas.openxmlformats.org/officeDocument/2006/relationships" r:id="rId27" tooltip="Go to monthly input"/>
            </xdr:cNvPr>
            <xdr:cNvPicPr>
              <a:picLocks noChangeAspect="1"/>
              <a:extLst>
                <a:ext uri="{84589F7E-364E-4C9E-8A38-B11213B215E9}">
                  <a14:cameraTool cellRange="Picture" spid="_x0000_s94566"/>
                </a:ext>
              </a:extLst>
            </xdr:cNvPicPr>
          </xdr:nvPicPr>
          <xdr:blipFill>
            <a:blip xmlns:r="http://schemas.openxmlformats.org/officeDocument/2006/relationships" r:embed="rId13"/>
            <a:stretch>
              <a:fillRect/>
            </a:stretch>
          </xdr:blipFill>
          <xdr:spPr>
            <a:xfrm>
              <a:off x="6103947" y="5040312"/>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35</xdr:row>
          <xdr:rowOff>174624</xdr:rowOff>
        </xdr:from>
        <xdr:to>
          <xdr:col>4</xdr:col>
          <xdr:colOff>323351</xdr:colOff>
          <xdr:row>36</xdr:row>
          <xdr:rowOff>164591</xdr:rowOff>
        </xdr:to>
        <xdr:pic>
          <xdr:nvPicPr>
            <xdr:cNvPr id="38" name="Picture 37">
              <a:hlinkClick xmlns:r="http://schemas.openxmlformats.org/officeDocument/2006/relationships" r:id="rId28" tooltip="Go to monthly input"/>
            </xdr:cNvPr>
            <xdr:cNvPicPr>
              <a:picLocks noChangeAspect="1"/>
              <a:extLst>
                <a:ext uri="{84589F7E-364E-4C9E-8A38-B11213B215E9}">
                  <a14:cameraTool cellRange="Picture" spid="_x0000_s94567"/>
                </a:ext>
              </a:extLst>
            </xdr:cNvPicPr>
          </xdr:nvPicPr>
          <xdr:blipFill>
            <a:blip xmlns:r="http://schemas.openxmlformats.org/officeDocument/2006/relationships" r:embed="rId13"/>
            <a:stretch>
              <a:fillRect/>
            </a:stretch>
          </xdr:blipFill>
          <xdr:spPr>
            <a:xfrm>
              <a:off x="6103947" y="5214937"/>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40</xdr:row>
          <xdr:rowOff>0</xdr:rowOff>
        </xdr:from>
        <xdr:to>
          <xdr:col>4</xdr:col>
          <xdr:colOff>323351</xdr:colOff>
          <xdr:row>41</xdr:row>
          <xdr:rowOff>5842</xdr:rowOff>
        </xdr:to>
        <xdr:pic>
          <xdr:nvPicPr>
            <xdr:cNvPr id="39" name="Picture 38">
              <a:hlinkClick xmlns:r="http://schemas.openxmlformats.org/officeDocument/2006/relationships" r:id="rId29" tooltip="Go to monthly input"/>
            </xdr:cNvPr>
            <xdr:cNvPicPr>
              <a:picLocks noChangeAspect="1"/>
              <a:extLst>
                <a:ext uri="{84589F7E-364E-4C9E-8A38-B11213B215E9}">
                  <a14:cameraTool cellRange="Picture" spid="_x0000_s94568"/>
                </a:ext>
              </a:extLst>
            </xdr:cNvPicPr>
          </xdr:nvPicPr>
          <xdr:blipFill>
            <a:blip xmlns:r="http://schemas.openxmlformats.org/officeDocument/2006/relationships" r:embed="rId13"/>
            <a:stretch>
              <a:fillRect/>
            </a:stretch>
          </xdr:blipFill>
          <xdr:spPr>
            <a:xfrm>
              <a:off x="6103947" y="579437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41</xdr:row>
          <xdr:rowOff>0</xdr:rowOff>
        </xdr:from>
        <xdr:to>
          <xdr:col>4</xdr:col>
          <xdr:colOff>323351</xdr:colOff>
          <xdr:row>42</xdr:row>
          <xdr:rowOff>5842</xdr:rowOff>
        </xdr:to>
        <xdr:pic>
          <xdr:nvPicPr>
            <xdr:cNvPr id="40" name="Picture 39">
              <a:hlinkClick xmlns:r="http://schemas.openxmlformats.org/officeDocument/2006/relationships" r:id="rId30" tooltip="Go to monthly input"/>
            </xdr:cNvPr>
            <xdr:cNvPicPr>
              <a:picLocks noChangeAspect="1"/>
              <a:extLst>
                <a:ext uri="{84589F7E-364E-4C9E-8A38-B11213B215E9}">
                  <a14:cameraTool cellRange="Picture" spid="_x0000_s94569"/>
                </a:ext>
              </a:extLst>
            </xdr:cNvPicPr>
          </xdr:nvPicPr>
          <xdr:blipFill>
            <a:blip xmlns:r="http://schemas.openxmlformats.org/officeDocument/2006/relationships" r:embed="rId13"/>
            <a:stretch>
              <a:fillRect/>
            </a:stretch>
          </xdr:blipFill>
          <xdr:spPr>
            <a:xfrm>
              <a:off x="6103947" y="595312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42</xdr:row>
          <xdr:rowOff>0</xdr:rowOff>
        </xdr:from>
        <xdr:to>
          <xdr:col>4</xdr:col>
          <xdr:colOff>323351</xdr:colOff>
          <xdr:row>43</xdr:row>
          <xdr:rowOff>5842</xdr:rowOff>
        </xdr:to>
        <xdr:pic>
          <xdr:nvPicPr>
            <xdr:cNvPr id="41" name="Picture 40">
              <a:hlinkClick xmlns:r="http://schemas.openxmlformats.org/officeDocument/2006/relationships" r:id="rId31" tooltip="Go to monthly input"/>
            </xdr:cNvPr>
            <xdr:cNvPicPr>
              <a:picLocks noChangeAspect="1"/>
              <a:extLst>
                <a:ext uri="{84589F7E-364E-4C9E-8A38-B11213B215E9}">
                  <a14:cameraTool cellRange="Picture" spid="_x0000_s94570"/>
                </a:ext>
              </a:extLst>
            </xdr:cNvPicPr>
          </xdr:nvPicPr>
          <xdr:blipFill>
            <a:blip xmlns:r="http://schemas.openxmlformats.org/officeDocument/2006/relationships" r:embed="rId13"/>
            <a:stretch>
              <a:fillRect/>
            </a:stretch>
          </xdr:blipFill>
          <xdr:spPr>
            <a:xfrm>
              <a:off x="6103947" y="611187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43</xdr:row>
          <xdr:rowOff>0</xdr:rowOff>
        </xdr:from>
        <xdr:to>
          <xdr:col>4</xdr:col>
          <xdr:colOff>323351</xdr:colOff>
          <xdr:row>44</xdr:row>
          <xdr:rowOff>5842</xdr:rowOff>
        </xdr:to>
        <xdr:pic>
          <xdr:nvPicPr>
            <xdr:cNvPr id="42" name="Picture 41">
              <a:hlinkClick xmlns:r="http://schemas.openxmlformats.org/officeDocument/2006/relationships" r:id="rId32" tooltip="Go to monthly input"/>
            </xdr:cNvPr>
            <xdr:cNvPicPr>
              <a:picLocks noChangeAspect="1"/>
              <a:extLst>
                <a:ext uri="{84589F7E-364E-4C9E-8A38-B11213B215E9}">
                  <a14:cameraTool cellRange="Picture" spid="_x0000_s94571"/>
                </a:ext>
              </a:extLst>
            </xdr:cNvPicPr>
          </xdr:nvPicPr>
          <xdr:blipFill>
            <a:blip xmlns:r="http://schemas.openxmlformats.org/officeDocument/2006/relationships" r:embed="rId13"/>
            <a:stretch>
              <a:fillRect/>
            </a:stretch>
          </xdr:blipFill>
          <xdr:spPr>
            <a:xfrm>
              <a:off x="6103947" y="627062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44</xdr:row>
          <xdr:rowOff>0</xdr:rowOff>
        </xdr:from>
        <xdr:to>
          <xdr:col>4</xdr:col>
          <xdr:colOff>323351</xdr:colOff>
          <xdr:row>45</xdr:row>
          <xdr:rowOff>5842</xdr:rowOff>
        </xdr:to>
        <xdr:pic>
          <xdr:nvPicPr>
            <xdr:cNvPr id="43" name="Picture 42">
              <a:hlinkClick xmlns:r="http://schemas.openxmlformats.org/officeDocument/2006/relationships" r:id="rId33" tooltip="Go to monthly input"/>
            </xdr:cNvPr>
            <xdr:cNvPicPr>
              <a:picLocks noChangeAspect="1"/>
              <a:extLst>
                <a:ext uri="{84589F7E-364E-4C9E-8A38-B11213B215E9}">
                  <a14:cameraTool cellRange="Picture" spid="_x0000_s94572"/>
                </a:ext>
              </a:extLst>
            </xdr:cNvPicPr>
          </xdr:nvPicPr>
          <xdr:blipFill>
            <a:blip xmlns:r="http://schemas.openxmlformats.org/officeDocument/2006/relationships" r:embed="rId13"/>
            <a:stretch>
              <a:fillRect/>
            </a:stretch>
          </xdr:blipFill>
          <xdr:spPr>
            <a:xfrm>
              <a:off x="6103947" y="642937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45</xdr:row>
          <xdr:rowOff>0</xdr:rowOff>
        </xdr:from>
        <xdr:to>
          <xdr:col>4</xdr:col>
          <xdr:colOff>323351</xdr:colOff>
          <xdr:row>46</xdr:row>
          <xdr:rowOff>5842</xdr:rowOff>
        </xdr:to>
        <xdr:pic>
          <xdr:nvPicPr>
            <xdr:cNvPr id="44" name="Picture 43">
              <a:hlinkClick xmlns:r="http://schemas.openxmlformats.org/officeDocument/2006/relationships" r:id="rId34" tooltip="Go to monthly input"/>
            </xdr:cNvPr>
            <xdr:cNvPicPr>
              <a:picLocks noChangeAspect="1"/>
              <a:extLst>
                <a:ext uri="{84589F7E-364E-4C9E-8A38-B11213B215E9}">
                  <a14:cameraTool cellRange="Picture" spid="_x0000_s94573"/>
                </a:ext>
              </a:extLst>
            </xdr:cNvPicPr>
          </xdr:nvPicPr>
          <xdr:blipFill>
            <a:blip xmlns:r="http://schemas.openxmlformats.org/officeDocument/2006/relationships" r:embed="rId13"/>
            <a:stretch>
              <a:fillRect/>
            </a:stretch>
          </xdr:blipFill>
          <xdr:spPr>
            <a:xfrm>
              <a:off x="6103947" y="658812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46</xdr:row>
          <xdr:rowOff>0</xdr:rowOff>
        </xdr:from>
        <xdr:to>
          <xdr:col>4</xdr:col>
          <xdr:colOff>323351</xdr:colOff>
          <xdr:row>47</xdr:row>
          <xdr:rowOff>5842</xdr:rowOff>
        </xdr:to>
        <xdr:pic>
          <xdr:nvPicPr>
            <xdr:cNvPr id="45" name="Picture 44">
              <a:hlinkClick xmlns:r="http://schemas.openxmlformats.org/officeDocument/2006/relationships" r:id="rId35" tooltip="Go to monthly input"/>
            </xdr:cNvPr>
            <xdr:cNvPicPr>
              <a:picLocks noChangeAspect="1"/>
              <a:extLst>
                <a:ext uri="{84589F7E-364E-4C9E-8A38-B11213B215E9}">
                  <a14:cameraTool cellRange="Picture" spid="_x0000_s94574"/>
                </a:ext>
              </a:extLst>
            </xdr:cNvPicPr>
          </xdr:nvPicPr>
          <xdr:blipFill>
            <a:blip xmlns:r="http://schemas.openxmlformats.org/officeDocument/2006/relationships" r:embed="rId13"/>
            <a:stretch>
              <a:fillRect/>
            </a:stretch>
          </xdr:blipFill>
          <xdr:spPr>
            <a:xfrm>
              <a:off x="6103947" y="674687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47</xdr:row>
          <xdr:rowOff>0</xdr:rowOff>
        </xdr:from>
        <xdr:to>
          <xdr:col>4</xdr:col>
          <xdr:colOff>323351</xdr:colOff>
          <xdr:row>48</xdr:row>
          <xdr:rowOff>5842</xdr:rowOff>
        </xdr:to>
        <xdr:pic>
          <xdr:nvPicPr>
            <xdr:cNvPr id="46" name="Picture 45">
              <a:hlinkClick xmlns:r="http://schemas.openxmlformats.org/officeDocument/2006/relationships" r:id="rId36" tooltip="Go to monthly input"/>
            </xdr:cNvPr>
            <xdr:cNvPicPr>
              <a:picLocks noChangeAspect="1"/>
              <a:extLst>
                <a:ext uri="{84589F7E-364E-4C9E-8A38-B11213B215E9}">
                  <a14:cameraTool cellRange="Picture" spid="_x0000_s94575"/>
                </a:ext>
              </a:extLst>
            </xdr:cNvPicPr>
          </xdr:nvPicPr>
          <xdr:blipFill>
            <a:blip xmlns:r="http://schemas.openxmlformats.org/officeDocument/2006/relationships" r:embed="rId13"/>
            <a:stretch>
              <a:fillRect/>
            </a:stretch>
          </xdr:blipFill>
          <xdr:spPr>
            <a:xfrm>
              <a:off x="6103947" y="690562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48</xdr:row>
          <xdr:rowOff>0</xdr:rowOff>
        </xdr:from>
        <xdr:to>
          <xdr:col>4</xdr:col>
          <xdr:colOff>323351</xdr:colOff>
          <xdr:row>49</xdr:row>
          <xdr:rowOff>5842</xdr:rowOff>
        </xdr:to>
        <xdr:pic>
          <xdr:nvPicPr>
            <xdr:cNvPr id="47" name="Picture 46">
              <a:hlinkClick xmlns:r="http://schemas.openxmlformats.org/officeDocument/2006/relationships" r:id="rId37" tooltip="Go to monthly input"/>
            </xdr:cNvPr>
            <xdr:cNvPicPr>
              <a:picLocks noChangeAspect="1"/>
              <a:extLst>
                <a:ext uri="{84589F7E-364E-4C9E-8A38-B11213B215E9}">
                  <a14:cameraTool cellRange="Picture" spid="_x0000_s94576"/>
                </a:ext>
              </a:extLst>
            </xdr:cNvPicPr>
          </xdr:nvPicPr>
          <xdr:blipFill>
            <a:blip xmlns:r="http://schemas.openxmlformats.org/officeDocument/2006/relationships" r:embed="rId13"/>
            <a:stretch>
              <a:fillRect/>
            </a:stretch>
          </xdr:blipFill>
          <xdr:spPr>
            <a:xfrm>
              <a:off x="6103947" y="706437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49</xdr:row>
          <xdr:rowOff>0</xdr:rowOff>
        </xdr:from>
        <xdr:to>
          <xdr:col>4</xdr:col>
          <xdr:colOff>323351</xdr:colOff>
          <xdr:row>50</xdr:row>
          <xdr:rowOff>5842</xdr:rowOff>
        </xdr:to>
        <xdr:pic>
          <xdr:nvPicPr>
            <xdr:cNvPr id="48" name="Picture 47">
              <a:hlinkClick xmlns:r="http://schemas.openxmlformats.org/officeDocument/2006/relationships" r:id="rId38" tooltip="Go to monthly input"/>
            </xdr:cNvPr>
            <xdr:cNvPicPr>
              <a:picLocks noChangeAspect="1"/>
              <a:extLst>
                <a:ext uri="{84589F7E-364E-4C9E-8A38-B11213B215E9}">
                  <a14:cameraTool cellRange="Picture" spid="_x0000_s94577"/>
                </a:ext>
              </a:extLst>
            </xdr:cNvPicPr>
          </xdr:nvPicPr>
          <xdr:blipFill>
            <a:blip xmlns:r="http://schemas.openxmlformats.org/officeDocument/2006/relationships" r:embed="rId13"/>
            <a:stretch>
              <a:fillRect/>
            </a:stretch>
          </xdr:blipFill>
          <xdr:spPr>
            <a:xfrm>
              <a:off x="6103947" y="722312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58</xdr:row>
          <xdr:rowOff>0</xdr:rowOff>
        </xdr:from>
        <xdr:to>
          <xdr:col>4</xdr:col>
          <xdr:colOff>323351</xdr:colOff>
          <xdr:row>59</xdr:row>
          <xdr:rowOff>5842</xdr:rowOff>
        </xdr:to>
        <xdr:pic>
          <xdr:nvPicPr>
            <xdr:cNvPr id="49" name="Picture 48">
              <a:hlinkClick xmlns:r="http://schemas.openxmlformats.org/officeDocument/2006/relationships" r:id="rId39" tooltip="Go to monthly input"/>
            </xdr:cNvPr>
            <xdr:cNvPicPr>
              <a:picLocks noChangeAspect="1"/>
              <a:extLst>
                <a:ext uri="{84589F7E-364E-4C9E-8A38-B11213B215E9}">
                  <a14:cameraTool cellRange="Picture" spid="_x0000_s94578"/>
                </a:ext>
              </a:extLst>
            </xdr:cNvPicPr>
          </xdr:nvPicPr>
          <xdr:blipFill>
            <a:blip xmlns:r="http://schemas.openxmlformats.org/officeDocument/2006/relationships" r:embed="rId13"/>
            <a:stretch>
              <a:fillRect/>
            </a:stretch>
          </xdr:blipFill>
          <xdr:spPr>
            <a:xfrm>
              <a:off x="6102359" y="8553450"/>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61</xdr:row>
          <xdr:rowOff>0</xdr:rowOff>
        </xdr:from>
        <xdr:to>
          <xdr:col>4</xdr:col>
          <xdr:colOff>323351</xdr:colOff>
          <xdr:row>62</xdr:row>
          <xdr:rowOff>5842</xdr:rowOff>
        </xdr:to>
        <xdr:pic>
          <xdr:nvPicPr>
            <xdr:cNvPr id="50" name="Picture 49">
              <a:hlinkClick xmlns:r="http://schemas.openxmlformats.org/officeDocument/2006/relationships" r:id="rId40" tooltip="Go to monthly input"/>
            </xdr:cNvPr>
            <xdr:cNvPicPr>
              <a:picLocks noChangeAspect="1"/>
              <a:extLst>
                <a:ext uri="{84589F7E-364E-4C9E-8A38-B11213B215E9}">
                  <a14:cameraTool cellRange="Picture" spid="_x0000_s94579"/>
                </a:ext>
              </a:extLst>
            </xdr:cNvPicPr>
          </xdr:nvPicPr>
          <xdr:blipFill>
            <a:blip xmlns:r="http://schemas.openxmlformats.org/officeDocument/2006/relationships" r:embed="rId13"/>
            <a:stretch>
              <a:fillRect/>
            </a:stretch>
          </xdr:blipFill>
          <xdr:spPr>
            <a:xfrm>
              <a:off x="6103947" y="8643938"/>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64</xdr:row>
          <xdr:rowOff>0</xdr:rowOff>
        </xdr:from>
        <xdr:to>
          <xdr:col>4</xdr:col>
          <xdr:colOff>323351</xdr:colOff>
          <xdr:row>65</xdr:row>
          <xdr:rowOff>5842</xdr:rowOff>
        </xdr:to>
        <xdr:pic>
          <xdr:nvPicPr>
            <xdr:cNvPr id="51" name="Picture 50">
              <a:hlinkClick xmlns:r="http://schemas.openxmlformats.org/officeDocument/2006/relationships" r:id="rId41" tooltip="Go to monthly input"/>
            </xdr:cNvPr>
            <xdr:cNvPicPr>
              <a:picLocks noChangeAspect="1"/>
              <a:extLst>
                <a:ext uri="{84589F7E-364E-4C9E-8A38-B11213B215E9}">
                  <a14:cameraTool cellRange="Picture" spid="_x0000_s94580"/>
                </a:ext>
              </a:extLst>
            </xdr:cNvPicPr>
          </xdr:nvPicPr>
          <xdr:blipFill>
            <a:blip xmlns:r="http://schemas.openxmlformats.org/officeDocument/2006/relationships" r:embed="rId13"/>
            <a:stretch>
              <a:fillRect/>
            </a:stretch>
          </xdr:blipFill>
          <xdr:spPr>
            <a:xfrm>
              <a:off x="6102359" y="8858250"/>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78</xdr:row>
          <xdr:rowOff>0</xdr:rowOff>
        </xdr:from>
        <xdr:to>
          <xdr:col>4</xdr:col>
          <xdr:colOff>323351</xdr:colOff>
          <xdr:row>79</xdr:row>
          <xdr:rowOff>5842</xdr:rowOff>
        </xdr:to>
        <xdr:pic>
          <xdr:nvPicPr>
            <xdr:cNvPr id="52" name="Picture 51">
              <a:hlinkClick xmlns:r="http://schemas.openxmlformats.org/officeDocument/2006/relationships" r:id="rId42" tooltip="Go to monthly input"/>
            </xdr:cNvPr>
            <xdr:cNvPicPr>
              <a:picLocks noChangeAspect="1"/>
              <a:extLst>
                <a:ext uri="{84589F7E-364E-4C9E-8A38-B11213B215E9}">
                  <a14:cameraTool cellRange="Picture" spid="_x0000_s94581"/>
                </a:ext>
              </a:extLst>
            </xdr:cNvPicPr>
          </xdr:nvPicPr>
          <xdr:blipFill>
            <a:blip xmlns:r="http://schemas.openxmlformats.org/officeDocument/2006/relationships" r:embed="rId13"/>
            <a:stretch>
              <a:fillRect/>
            </a:stretch>
          </xdr:blipFill>
          <xdr:spPr>
            <a:xfrm>
              <a:off x="6103947" y="9715500"/>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79</xdr:row>
          <xdr:rowOff>0</xdr:rowOff>
        </xdr:from>
        <xdr:to>
          <xdr:col>4</xdr:col>
          <xdr:colOff>323351</xdr:colOff>
          <xdr:row>80</xdr:row>
          <xdr:rowOff>5842</xdr:rowOff>
        </xdr:to>
        <xdr:pic>
          <xdr:nvPicPr>
            <xdr:cNvPr id="53" name="Picture 52">
              <a:hlinkClick xmlns:r="http://schemas.openxmlformats.org/officeDocument/2006/relationships" r:id="rId43" tooltip="Go to monthly input"/>
            </xdr:cNvPr>
            <xdr:cNvPicPr>
              <a:picLocks noChangeAspect="1"/>
              <a:extLst>
                <a:ext uri="{84589F7E-364E-4C9E-8A38-B11213B215E9}">
                  <a14:cameraTool cellRange="Picture" spid="_x0000_s94582"/>
                </a:ext>
              </a:extLst>
            </xdr:cNvPicPr>
          </xdr:nvPicPr>
          <xdr:blipFill>
            <a:blip xmlns:r="http://schemas.openxmlformats.org/officeDocument/2006/relationships" r:embed="rId13"/>
            <a:stretch>
              <a:fillRect/>
            </a:stretch>
          </xdr:blipFill>
          <xdr:spPr>
            <a:xfrm>
              <a:off x="6103947" y="9874250"/>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80</xdr:row>
          <xdr:rowOff>0</xdr:rowOff>
        </xdr:from>
        <xdr:to>
          <xdr:col>4</xdr:col>
          <xdr:colOff>323351</xdr:colOff>
          <xdr:row>81</xdr:row>
          <xdr:rowOff>5842</xdr:rowOff>
        </xdr:to>
        <xdr:pic>
          <xdr:nvPicPr>
            <xdr:cNvPr id="54" name="Picture 53">
              <a:hlinkClick xmlns:r="http://schemas.openxmlformats.org/officeDocument/2006/relationships" r:id="rId44" tooltip="Go to monthly input"/>
            </xdr:cNvPr>
            <xdr:cNvPicPr>
              <a:picLocks noChangeAspect="1"/>
              <a:extLst>
                <a:ext uri="{84589F7E-364E-4C9E-8A38-B11213B215E9}">
                  <a14:cameraTool cellRange="Picture" spid="_x0000_s94583"/>
                </a:ext>
              </a:extLst>
            </xdr:cNvPicPr>
          </xdr:nvPicPr>
          <xdr:blipFill>
            <a:blip xmlns:r="http://schemas.openxmlformats.org/officeDocument/2006/relationships" r:embed="rId13"/>
            <a:stretch>
              <a:fillRect/>
            </a:stretch>
          </xdr:blipFill>
          <xdr:spPr>
            <a:xfrm>
              <a:off x="6103947" y="10033000"/>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81</xdr:row>
          <xdr:rowOff>0</xdr:rowOff>
        </xdr:from>
        <xdr:to>
          <xdr:col>4</xdr:col>
          <xdr:colOff>323351</xdr:colOff>
          <xdr:row>82</xdr:row>
          <xdr:rowOff>5842</xdr:rowOff>
        </xdr:to>
        <xdr:pic>
          <xdr:nvPicPr>
            <xdr:cNvPr id="55" name="Picture 54">
              <a:hlinkClick xmlns:r="http://schemas.openxmlformats.org/officeDocument/2006/relationships" r:id="rId45" tooltip="Go to monthly input"/>
            </xdr:cNvPr>
            <xdr:cNvPicPr>
              <a:picLocks noChangeAspect="1"/>
              <a:extLst>
                <a:ext uri="{84589F7E-364E-4C9E-8A38-B11213B215E9}">
                  <a14:cameraTool cellRange="Picture" spid="_x0000_s94584"/>
                </a:ext>
              </a:extLst>
            </xdr:cNvPicPr>
          </xdr:nvPicPr>
          <xdr:blipFill>
            <a:blip xmlns:r="http://schemas.openxmlformats.org/officeDocument/2006/relationships" r:embed="rId13"/>
            <a:stretch>
              <a:fillRect/>
            </a:stretch>
          </xdr:blipFill>
          <xdr:spPr>
            <a:xfrm>
              <a:off x="6103947" y="10191750"/>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85</xdr:row>
          <xdr:rowOff>0</xdr:rowOff>
        </xdr:from>
        <xdr:to>
          <xdr:col>4</xdr:col>
          <xdr:colOff>323351</xdr:colOff>
          <xdr:row>86</xdr:row>
          <xdr:rowOff>5842</xdr:rowOff>
        </xdr:to>
        <xdr:pic>
          <xdr:nvPicPr>
            <xdr:cNvPr id="56" name="Picture 55">
              <a:hlinkClick xmlns:r="http://schemas.openxmlformats.org/officeDocument/2006/relationships" r:id="rId46" tooltip="Go to monthly input"/>
            </xdr:cNvPr>
            <xdr:cNvPicPr>
              <a:picLocks noChangeAspect="1"/>
              <a:extLst>
                <a:ext uri="{84589F7E-364E-4C9E-8A38-B11213B215E9}">
                  <a14:cameraTool cellRange="Picture" spid="_x0000_s94585"/>
                </a:ext>
              </a:extLst>
            </xdr:cNvPicPr>
          </xdr:nvPicPr>
          <xdr:blipFill>
            <a:blip xmlns:r="http://schemas.openxmlformats.org/officeDocument/2006/relationships" r:embed="rId13"/>
            <a:stretch>
              <a:fillRect/>
            </a:stretch>
          </xdr:blipFill>
          <xdr:spPr>
            <a:xfrm>
              <a:off x="6103947" y="10755313"/>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86</xdr:row>
          <xdr:rowOff>0</xdr:rowOff>
        </xdr:from>
        <xdr:to>
          <xdr:col>4</xdr:col>
          <xdr:colOff>323351</xdr:colOff>
          <xdr:row>87</xdr:row>
          <xdr:rowOff>5842</xdr:rowOff>
        </xdr:to>
        <xdr:pic>
          <xdr:nvPicPr>
            <xdr:cNvPr id="57" name="Picture 56">
              <a:hlinkClick xmlns:r="http://schemas.openxmlformats.org/officeDocument/2006/relationships" r:id="rId47" tooltip="Go to monthly input"/>
            </xdr:cNvPr>
            <xdr:cNvPicPr>
              <a:picLocks noChangeAspect="1"/>
              <a:extLst>
                <a:ext uri="{84589F7E-364E-4C9E-8A38-B11213B215E9}">
                  <a14:cameraTool cellRange="Picture" spid="_x0000_s94586"/>
                </a:ext>
              </a:extLst>
            </xdr:cNvPicPr>
          </xdr:nvPicPr>
          <xdr:blipFill>
            <a:blip xmlns:r="http://schemas.openxmlformats.org/officeDocument/2006/relationships" r:embed="rId13"/>
            <a:stretch>
              <a:fillRect/>
            </a:stretch>
          </xdr:blipFill>
          <xdr:spPr>
            <a:xfrm>
              <a:off x="6103947" y="10914063"/>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87</xdr:row>
          <xdr:rowOff>0</xdr:rowOff>
        </xdr:from>
        <xdr:to>
          <xdr:col>4</xdr:col>
          <xdr:colOff>323351</xdr:colOff>
          <xdr:row>88</xdr:row>
          <xdr:rowOff>5842</xdr:rowOff>
        </xdr:to>
        <xdr:pic>
          <xdr:nvPicPr>
            <xdr:cNvPr id="58" name="Picture 57">
              <a:hlinkClick xmlns:r="http://schemas.openxmlformats.org/officeDocument/2006/relationships" r:id="rId48" tooltip="Go to monthly input"/>
            </xdr:cNvPr>
            <xdr:cNvPicPr>
              <a:picLocks noChangeAspect="1"/>
              <a:extLst>
                <a:ext uri="{84589F7E-364E-4C9E-8A38-B11213B215E9}">
                  <a14:cameraTool cellRange="Picture" spid="_x0000_s94587"/>
                </a:ext>
              </a:extLst>
            </xdr:cNvPicPr>
          </xdr:nvPicPr>
          <xdr:blipFill>
            <a:blip xmlns:r="http://schemas.openxmlformats.org/officeDocument/2006/relationships" r:embed="rId13"/>
            <a:stretch>
              <a:fillRect/>
            </a:stretch>
          </xdr:blipFill>
          <xdr:spPr>
            <a:xfrm>
              <a:off x="6103947" y="11072813"/>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88</xdr:row>
          <xdr:rowOff>0</xdr:rowOff>
        </xdr:from>
        <xdr:to>
          <xdr:col>4</xdr:col>
          <xdr:colOff>323351</xdr:colOff>
          <xdr:row>89</xdr:row>
          <xdr:rowOff>5842</xdr:rowOff>
        </xdr:to>
        <xdr:pic>
          <xdr:nvPicPr>
            <xdr:cNvPr id="59" name="Picture 58">
              <a:hlinkClick xmlns:r="http://schemas.openxmlformats.org/officeDocument/2006/relationships" r:id="rId49" tooltip="Go to monthly input"/>
            </xdr:cNvPr>
            <xdr:cNvPicPr>
              <a:picLocks noChangeAspect="1"/>
              <a:extLst>
                <a:ext uri="{84589F7E-364E-4C9E-8A38-B11213B215E9}">
                  <a14:cameraTool cellRange="Picture" spid="_x0000_s94588"/>
                </a:ext>
              </a:extLst>
            </xdr:cNvPicPr>
          </xdr:nvPicPr>
          <xdr:blipFill>
            <a:blip xmlns:r="http://schemas.openxmlformats.org/officeDocument/2006/relationships" r:embed="rId13"/>
            <a:stretch>
              <a:fillRect/>
            </a:stretch>
          </xdr:blipFill>
          <xdr:spPr>
            <a:xfrm>
              <a:off x="6103947" y="11231563"/>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89</xdr:row>
          <xdr:rowOff>0</xdr:rowOff>
        </xdr:from>
        <xdr:to>
          <xdr:col>4</xdr:col>
          <xdr:colOff>323351</xdr:colOff>
          <xdr:row>90</xdr:row>
          <xdr:rowOff>5842</xdr:rowOff>
        </xdr:to>
        <xdr:pic>
          <xdr:nvPicPr>
            <xdr:cNvPr id="60" name="Picture 59">
              <a:hlinkClick xmlns:r="http://schemas.openxmlformats.org/officeDocument/2006/relationships" r:id="rId50" tooltip="Go to monthly input"/>
            </xdr:cNvPr>
            <xdr:cNvPicPr>
              <a:picLocks noChangeAspect="1"/>
              <a:extLst>
                <a:ext uri="{84589F7E-364E-4C9E-8A38-B11213B215E9}">
                  <a14:cameraTool cellRange="Picture" spid="_x0000_s94589"/>
                </a:ext>
              </a:extLst>
            </xdr:cNvPicPr>
          </xdr:nvPicPr>
          <xdr:blipFill>
            <a:blip xmlns:r="http://schemas.openxmlformats.org/officeDocument/2006/relationships" r:embed="rId13"/>
            <a:stretch>
              <a:fillRect/>
            </a:stretch>
          </xdr:blipFill>
          <xdr:spPr>
            <a:xfrm>
              <a:off x="6103947" y="11390313"/>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90</xdr:row>
          <xdr:rowOff>0</xdr:rowOff>
        </xdr:from>
        <xdr:to>
          <xdr:col>4</xdr:col>
          <xdr:colOff>323351</xdr:colOff>
          <xdr:row>91</xdr:row>
          <xdr:rowOff>5842</xdr:rowOff>
        </xdr:to>
        <xdr:pic>
          <xdr:nvPicPr>
            <xdr:cNvPr id="61" name="Picture 60">
              <a:hlinkClick xmlns:r="http://schemas.openxmlformats.org/officeDocument/2006/relationships" r:id="rId51" tooltip="Go to monthly input"/>
            </xdr:cNvPr>
            <xdr:cNvPicPr>
              <a:picLocks noChangeAspect="1"/>
              <a:extLst>
                <a:ext uri="{84589F7E-364E-4C9E-8A38-B11213B215E9}">
                  <a14:cameraTool cellRange="Picture" spid="_x0000_s94590"/>
                </a:ext>
              </a:extLst>
            </xdr:cNvPicPr>
          </xdr:nvPicPr>
          <xdr:blipFill>
            <a:blip xmlns:r="http://schemas.openxmlformats.org/officeDocument/2006/relationships" r:embed="rId13"/>
            <a:stretch>
              <a:fillRect/>
            </a:stretch>
          </xdr:blipFill>
          <xdr:spPr>
            <a:xfrm>
              <a:off x="6103947" y="11549063"/>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91</xdr:row>
          <xdr:rowOff>0</xdr:rowOff>
        </xdr:from>
        <xdr:to>
          <xdr:col>4</xdr:col>
          <xdr:colOff>323351</xdr:colOff>
          <xdr:row>92</xdr:row>
          <xdr:rowOff>5842</xdr:rowOff>
        </xdr:to>
        <xdr:pic>
          <xdr:nvPicPr>
            <xdr:cNvPr id="62" name="Picture 61">
              <a:hlinkClick xmlns:r="http://schemas.openxmlformats.org/officeDocument/2006/relationships" r:id="rId52" tooltip="Go to monthly input"/>
            </xdr:cNvPr>
            <xdr:cNvPicPr>
              <a:picLocks noChangeAspect="1"/>
              <a:extLst>
                <a:ext uri="{84589F7E-364E-4C9E-8A38-B11213B215E9}">
                  <a14:cameraTool cellRange="Picture" spid="_x0000_s94591"/>
                </a:ext>
              </a:extLst>
            </xdr:cNvPicPr>
          </xdr:nvPicPr>
          <xdr:blipFill>
            <a:blip xmlns:r="http://schemas.openxmlformats.org/officeDocument/2006/relationships" r:embed="rId13"/>
            <a:stretch>
              <a:fillRect/>
            </a:stretch>
          </xdr:blipFill>
          <xdr:spPr>
            <a:xfrm>
              <a:off x="6103947" y="11707813"/>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92</xdr:row>
          <xdr:rowOff>0</xdr:rowOff>
        </xdr:from>
        <xdr:to>
          <xdr:col>4</xdr:col>
          <xdr:colOff>323351</xdr:colOff>
          <xdr:row>93</xdr:row>
          <xdr:rowOff>5842</xdr:rowOff>
        </xdr:to>
        <xdr:pic>
          <xdr:nvPicPr>
            <xdr:cNvPr id="63" name="Picture 62">
              <a:hlinkClick xmlns:r="http://schemas.openxmlformats.org/officeDocument/2006/relationships" r:id="rId53" tooltip="Go to monthly input"/>
            </xdr:cNvPr>
            <xdr:cNvPicPr>
              <a:picLocks noChangeAspect="1"/>
              <a:extLst>
                <a:ext uri="{84589F7E-364E-4C9E-8A38-B11213B215E9}">
                  <a14:cameraTool cellRange="Picture" spid="_x0000_s94592"/>
                </a:ext>
              </a:extLst>
            </xdr:cNvPicPr>
          </xdr:nvPicPr>
          <xdr:blipFill>
            <a:blip xmlns:r="http://schemas.openxmlformats.org/officeDocument/2006/relationships" r:embed="rId13"/>
            <a:stretch>
              <a:fillRect/>
            </a:stretch>
          </xdr:blipFill>
          <xdr:spPr>
            <a:xfrm>
              <a:off x="6103947" y="11866563"/>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93</xdr:row>
          <xdr:rowOff>0</xdr:rowOff>
        </xdr:from>
        <xdr:to>
          <xdr:col>4</xdr:col>
          <xdr:colOff>323351</xdr:colOff>
          <xdr:row>94</xdr:row>
          <xdr:rowOff>5842</xdr:rowOff>
        </xdr:to>
        <xdr:pic>
          <xdr:nvPicPr>
            <xdr:cNvPr id="64" name="Picture 63">
              <a:hlinkClick xmlns:r="http://schemas.openxmlformats.org/officeDocument/2006/relationships" r:id="rId54" tooltip="Go to monthly input"/>
            </xdr:cNvPr>
            <xdr:cNvPicPr>
              <a:picLocks noChangeAspect="1"/>
              <a:extLst>
                <a:ext uri="{84589F7E-364E-4C9E-8A38-B11213B215E9}">
                  <a14:cameraTool cellRange="Picture" spid="_x0000_s94593"/>
                </a:ext>
              </a:extLst>
            </xdr:cNvPicPr>
          </xdr:nvPicPr>
          <xdr:blipFill>
            <a:blip xmlns:r="http://schemas.openxmlformats.org/officeDocument/2006/relationships" r:embed="rId13"/>
            <a:stretch>
              <a:fillRect/>
            </a:stretch>
          </xdr:blipFill>
          <xdr:spPr>
            <a:xfrm>
              <a:off x="6103947" y="12025313"/>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94</xdr:row>
          <xdr:rowOff>0</xdr:rowOff>
        </xdr:from>
        <xdr:to>
          <xdr:col>4</xdr:col>
          <xdr:colOff>323351</xdr:colOff>
          <xdr:row>95</xdr:row>
          <xdr:rowOff>5842</xdr:rowOff>
        </xdr:to>
        <xdr:pic>
          <xdr:nvPicPr>
            <xdr:cNvPr id="65" name="Picture 64">
              <a:hlinkClick xmlns:r="http://schemas.openxmlformats.org/officeDocument/2006/relationships" r:id="rId55" tooltip="Go to monthly input"/>
            </xdr:cNvPr>
            <xdr:cNvPicPr>
              <a:picLocks noChangeAspect="1"/>
              <a:extLst>
                <a:ext uri="{84589F7E-364E-4C9E-8A38-B11213B215E9}">
                  <a14:cameraTool cellRange="Picture" spid="_x0000_s94594"/>
                </a:ext>
              </a:extLst>
            </xdr:cNvPicPr>
          </xdr:nvPicPr>
          <xdr:blipFill>
            <a:blip xmlns:r="http://schemas.openxmlformats.org/officeDocument/2006/relationships" r:embed="rId13"/>
            <a:stretch>
              <a:fillRect/>
            </a:stretch>
          </xdr:blipFill>
          <xdr:spPr>
            <a:xfrm>
              <a:off x="6103947" y="12184063"/>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98</xdr:row>
          <xdr:rowOff>0</xdr:rowOff>
        </xdr:from>
        <xdr:to>
          <xdr:col>4</xdr:col>
          <xdr:colOff>323351</xdr:colOff>
          <xdr:row>99</xdr:row>
          <xdr:rowOff>5842</xdr:rowOff>
        </xdr:to>
        <xdr:pic>
          <xdr:nvPicPr>
            <xdr:cNvPr id="66" name="Picture 65">
              <a:hlinkClick xmlns:r="http://schemas.openxmlformats.org/officeDocument/2006/relationships" r:id="rId56" tooltip="Go to monthly input"/>
            </xdr:cNvPr>
            <xdr:cNvPicPr>
              <a:picLocks noChangeAspect="1"/>
              <a:extLst>
                <a:ext uri="{84589F7E-364E-4C9E-8A38-B11213B215E9}">
                  <a14:cameraTool cellRange="Picture" spid="_x0000_s94595"/>
                </a:ext>
              </a:extLst>
            </xdr:cNvPicPr>
          </xdr:nvPicPr>
          <xdr:blipFill>
            <a:blip xmlns:r="http://schemas.openxmlformats.org/officeDocument/2006/relationships" r:embed="rId13"/>
            <a:stretch>
              <a:fillRect/>
            </a:stretch>
          </xdr:blipFill>
          <xdr:spPr>
            <a:xfrm>
              <a:off x="6103947" y="1274762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99</xdr:row>
          <xdr:rowOff>0</xdr:rowOff>
        </xdr:from>
        <xdr:to>
          <xdr:col>4</xdr:col>
          <xdr:colOff>323351</xdr:colOff>
          <xdr:row>100</xdr:row>
          <xdr:rowOff>5842</xdr:rowOff>
        </xdr:to>
        <xdr:pic>
          <xdr:nvPicPr>
            <xdr:cNvPr id="67" name="Picture 66">
              <a:hlinkClick xmlns:r="http://schemas.openxmlformats.org/officeDocument/2006/relationships" r:id="rId57" tooltip="Go to monthly input"/>
            </xdr:cNvPr>
            <xdr:cNvPicPr>
              <a:picLocks noChangeAspect="1"/>
              <a:extLst>
                <a:ext uri="{84589F7E-364E-4C9E-8A38-B11213B215E9}">
                  <a14:cameraTool cellRange="Picture" spid="_x0000_s94596"/>
                </a:ext>
              </a:extLst>
            </xdr:cNvPicPr>
          </xdr:nvPicPr>
          <xdr:blipFill>
            <a:blip xmlns:r="http://schemas.openxmlformats.org/officeDocument/2006/relationships" r:embed="rId13"/>
            <a:stretch>
              <a:fillRect/>
            </a:stretch>
          </xdr:blipFill>
          <xdr:spPr>
            <a:xfrm>
              <a:off x="6103947" y="1290637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100</xdr:row>
          <xdr:rowOff>0</xdr:rowOff>
        </xdr:from>
        <xdr:to>
          <xdr:col>4</xdr:col>
          <xdr:colOff>323351</xdr:colOff>
          <xdr:row>101</xdr:row>
          <xdr:rowOff>5842</xdr:rowOff>
        </xdr:to>
        <xdr:pic>
          <xdr:nvPicPr>
            <xdr:cNvPr id="68" name="Picture 67">
              <a:hlinkClick xmlns:r="http://schemas.openxmlformats.org/officeDocument/2006/relationships" r:id="rId58" tooltip="Go to monthly input"/>
            </xdr:cNvPr>
            <xdr:cNvPicPr>
              <a:picLocks noChangeAspect="1"/>
              <a:extLst>
                <a:ext uri="{84589F7E-364E-4C9E-8A38-B11213B215E9}">
                  <a14:cameraTool cellRange="Picture" spid="_x0000_s94597"/>
                </a:ext>
              </a:extLst>
            </xdr:cNvPicPr>
          </xdr:nvPicPr>
          <xdr:blipFill>
            <a:blip xmlns:r="http://schemas.openxmlformats.org/officeDocument/2006/relationships" r:embed="rId13"/>
            <a:stretch>
              <a:fillRect/>
            </a:stretch>
          </xdr:blipFill>
          <xdr:spPr>
            <a:xfrm>
              <a:off x="6103947" y="1306512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101</xdr:row>
          <xdr:rowOff>0</xdr:rowOff>
        </xdr:from>
        <xdr:to>
          <xdr:col>4</xdr:col>
          <xdr:colOff>323351</xdr:colOff>
          <xdr:row>102</xdr:row>
          <xdr:rowOff>5842</xdr:rowOff>
        </xdr:to>
        <xdr:pic>
          <xdr:nvPicPr>
            <xdr:cNvPr id="69" name="Picture 68">
              <a:hlinkClick xmlns:r="http://schemas.openxmlformats.org/officeDocument/2006/relationships" r:id="rId59" tooltip="Go to monthly input"/>
            </xdr:cNvPr>
            <xdr:cNvPicPr>
              <a:picLocks noChangeAspect="1"/>
              <a:extLst>
                <a:ext uri="{84589F7E-364E-4C9E-8A38-B11213B215E9}">
                  <a14:cameraTool cellRange="Picture" spid="_x0000_s94598"/>
                </a:ext>
              </a:extLst>
            </xdr:cNvPicPr>
          </xdr:nvPicPr>
          <xdr:blipFill>
            <a:blip xmlns:r="http://schemas.openxmlformats.org/officeDocument/2006/relationships" r:embed="rId13"/>
            <a:stretch>
              <a:fillRect/>
            </a:stretch>
          </xdr:blipFill>
          <xdr:spPr>
            <a:xfrm>
              <a:off x="6103947" y="1322387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102</xdr:row>
          <xdr:rowOff>0</xdr:rowOff>
        </xdr:from>
        <xdr:to>
          <xdr:col>4</xdr:col>
          <xdr:colOff>323351</xdr:colOff>
          <xdr:row>103</xdr:row>
          <xdr:rowOff>5842</xdr:rowOff>
        </xdr:to>
        <xdr:pic>
          <xdr:nvPicPr>
            <xdr:cNvPr id="70" name="Picture 69">
              <a:hlinkClick xmlns:r="http://schemas.openxmlformats.org/officeDocument/2006/relationships" r:id="rId60" tooltip="Go to monthly input"/>
            </xdr:cNvPr>
            <xdr:cNvPicPr>
              <a:picLocks noChangeAspect="1"/>
              <a:extLst>
                <a:ext uri="{84589F7E-364E-4C9E-8A38-B11213B215E9}">
                  <a14:cameraTool cellRange="Picture" spid="_x0000_s94599"/>
                </a:ext>
              </a:extLst>
            </xdr:cNvPicPr>
          </xdr:nvPicPr>
          <xdr:blipFill>
            <a:blip xmlns:r="http://schemas.openxmlformats.org/officeDocument/2006/relationships" r:embed="rId13"/>
            <a:stretch>
              <a:fillRect/>
            </a:stretch>
          </xdr:blipFill>
          <xdr:spPr>
            <a:xfrm>
              <a:off x="6102359" y="13839825"/>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104</xdr:row>
          <xdr:rowOff>0</xdr:rowOff>
        </xdr:from>
        <xdr:to>
          <xdr:col>4</xdr:col>
          <xdr:colOff>323351</xdr:colOff>
          <xdr:row>105</xdr:row>
          <xdr:rowOff>5842</xdr:rowOff>
        </xdr:to>
        <xdr:pic>
          <xdr:nvPicPr>
            <xdr:cNvPr id="71" name="Picture 70">
              <a:hlinkClick xmlns:r="http://schemas.openxmlformats.org/officeDocument/2006/relationships" r:id="rId61" tooltip="Go to monthly input"/>
            </xdr:cNvPr>
            <xdr:cNvPicPr>
              <a:picLocks noChangeAspect="1"/>
              <a:extLst>
                <a:ext uri="{84589F7E-364E-4C9E-8A38-B11213B215E9}">
                  <a14:cameraTool cellRange="Picture" spid="_x0000_s94600"/>
                </a:ext>
              </a:extLst>
            </xdr:cNvPicPr>
          </xdr:nvPicPr>
          <xdr:blipFill>
            <a:blip xmlns:r="http://schemas.openxmlformats.org/officeDocument/2006/relationships" r:embed="rId13"/>
            <a:stretch>
              <a:fillRect/>
            </a:stretch>
          </xdr:blipFill>
          <xdr:spPr>
            <a:xfrm>
              <a:off x="6103947" y="1354137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105</xdr:row>
          <xdr:rowOff>0</xdr:rowOff>
        </xdr:from>
        <xdr:to>
          <xdr:col>4</xdr:col>
          <xdr:colOff>323351</xdr:colOff>
          <xdr:row>106</xdr:row>
          <xdr:rowOff>5842</xdr:rowOff>
        </xdr:to>
        <xdr:pic>
          <xdr:nvPicPr>
            <xdr:cNvPr id="72" name="Picture 71">
              <a:hlinkClick xmlns:r="http://schemas.openxmlformats.org/officeDocument/2006/relationships" r:id="rId62" tooltip="Go to monthly input"/>
            </xdr:cNvPr>
            <xdr:cNvPicPr>
              <a:picLocks noChangeAspect="1"/>
              <a:extLst>
                <a:ext uri="{84589F7E-364E-4C9E-8A38-B11213B215E9}">
                  <a14:cameraTool cellRange="Picture" spid="_x0000_s94601"/>
                </a:ext>
              </a:extLst>
            </xdr:cNvPicPr>
          </xdr:nvPicPr>
          <xdr:blipFill>
            <a:blip xmlns:r="http://schemas.openxmlformats.org/officeDocument/2006/relationships" r:embed="rId13"/>
            <a:stretch>
              <a:fillRect/>
            </a:stretch>
          </xdr:blipFill>
          <xdr:spPr>
            <a:xfrm>
              <a:off x="6102359" y="14163675"/>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114</xdr:row>
          <xdr:rowOff>0</xdr:rowOff>
        </xdr:from>
        <xdr:to>
          <xdr:col>4</xdr:col>
          <xdr:colOff>323351</xdr:colOff>
          <xdr:row>115</xdr:row>
          <xdr:rowOff>5842</xdr:rowOff>
        </xdr:to>
        <xdr:pic>
          <xdr:nvPicPr>
            <xdr:cNvPr id="73" name="Picture 72">
              <a:hlinkClick xmlns:r="http://schemas.openxmlformats.org/officeDocument/2006/relationships" r:id="rId63" tooltip="Go to monthly input"/>
            </xdr:cNvPr>
            <xdr:cNvPicPr>
              <a:picLocks noChangeAspect="1"/>
              <a:extLst>
                <a:ext uri="{84589F7E-364E-4C9E-8A38-B11213B215E9}">
                  <a14:cameraTool cellRange="Picture" spid="_x0000_s94602"/>
                </a:ext>
              </a:extLst>
            </xdr:cNvPicPr>
          </xdr:nvPicPr>
          <xdr:blipFill>
            <a:blip xmlns:r="http://schemas.openxmlformats.org/officeDocument/2006/relationships" r:embed="rId13"/>
            <a:stretch>
              <a:fillRect/>
            </a:stretch>
          </xdr:blipFill>
          <xdr:spPr>
            <a:xfrm>
              <a:off x="6102359" y="15544800"/>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118</xdr:row>
          <xdr:rowOff>0</xdr:rowOff>
        </xdr:from>
        <xdr:to>
          <xdr:col>4</xdr:col>
          <xdr:colOff>323351</xdr:colOff>
          <xdr:row>119</xdr:row>
          <xdr:rowOff>5842</xdr:rowOff>
        </xdr:to>
        <xdr:pic>
          <xdr:nvPicPr>
            <xdr:cNvPr id="74" name="Picture 73">
              <a:hlinkClick xmlns:r="http://schemas.openxmlformats.org/officeDocument/2006/relationships" r:id="rId64" tooltip="Go to monthly input"/>
            </xdr:cNvPr>
            <xdr:cNvPicPr>
              <a:picLocks noChangeAspect="1"/>
              <a:extLst>
                <a:ext uri="{84589F7E-364E-4C9E-8A38-B11213B215E9}">
                  <a14:cameraTool cellRange="Picture" spid="_x0000_s94603"/>
                </a:ext>
              </a:extLst>
            </xdr:cNvPicPr>
          </xdr:nvPicPr>
          <xdr:blipFill>
            <a:blip xmlns:r="http://schemas.openxmlformats.org/officeDocument/2006/relationships" r:embed="rId13"/>
            <a:stretch>
              <a:fillRect/>
            </a:stretch>
          </xdr:blipFill>
          <xdr:spPr>
            <a:xfrm>
              <a:off x="6102359" y="16592550"/>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134</xdr:row>
          <xdr:rowOff>0</xdr:rowOff>
        </xdr:from>
        <xdr:to>
          <xdr:col>4</xdr:col>
          <xdr:colOff>323351</xdr:colOff>
          <xdr:row>135</xdr:row>
          <xdr:rowOff>5842</xdr:rowOff>
        </xdr:to>
        <xdr:pic>
          <xdr:nvPicPr>
            <xdr:cNvPr id="75" name="Picture 74">
              <a:hlinkClick xmlns:r="http://schemas.openxmlformats.org/officeDocument/2006/relationships" r:id="rId65" tooltip="Go to monthly input"/>
            </xdr:cNvPr>
            <xdr:cNvPicPr>
              <a:picLocks noChangeAspect="1"/>
              <a:extLst>
                <a:ext uri="{84589F7E-364E-4C9E-8A38-B11213B215E9}">
                  <a14:cameraTool cellRange="Picture" spid="_x0000_s94604"/>
                </a:ext>
              </a:extLst>
            </xdr:cNvPicPr>
          </xdr:nvPicPr>
          <xdr:blipFill>
            <a:blip xmlns:r="http://schemas.openxmlformats.org/officeDocument/2006/relationships" r:embed="rId13"/>
            <a:stretch>
              <a:fillRect/>
            </a:stretch>
          </xdr:blipFill>
          <xdr:spPr>
            <a:xfrm>
              <a:off x="6103947" y="1614487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135</xdr:row>
          <xdr:rowOff>0</xdr:rowOff>
        </xdr:from>
        <xdr:to>
          <xdr:col>4</xdr:col>
          <xdr:colOff>323351</xdr:colOff>
          <xdr:row>136</xdr:row>
          <xdr:rowOff>5842</xdr:rowOff>
        </xdr:to>
        <xdr:pic>
          <xdr:nvPicPr>
            <xdr:cNvPr id="76" name="Picture 75">
              <a:hlinkClick xmlns:r="http://schemas.openxmlformats.org/officeDocument/2006/relationships" r:id="rId66" tooltip="Go to monthly input"/>
            </xdr:cNvPr>
            <xdr:cNvPicPr>
              <a:picLocks noChangeAspect="1"/>
              <a:extLst>
                <a:ext uri="{84589F7E-364E-4C9E-8A38-B11213B215E9}">
                  <a14:cameraTool cellRange="Picture" spid="_x0000_s94605"/>
                </a:ext>
              </a:extLst>
            </xdr:cNvPicPr>
          </xdr:nvPicPr>
          <xdr:blipFill>
            <a:blip xmlns:r="http://schemas.openxmlformats.org/officeDocument/2006/relationships" r:embed="rId13"/>
            <a:stretch>
              <a:fillRect/>
            </a:stretch>
          </xdr:blipFill>
          <xdr:spPr>
            <a:xfrm>
              <a:off x="6103947" y="1630362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136</xdr:row>
          <xdr:rowOff>0</xdr:rowOff>
        </xdr:from>
        <xdr:to>
          <xdr:col>4</xdr:col>
          <xdr:colOff>323351</xdr:colOff>
          <xdr:row>137</xdr:row>
          <xdr:rowOff>5842</xdr:rowOff>
        </xdr:to>
        <xdr:pic>
          <xdr:nvPicPr>
            <xdr:cNvPr id="77" name="Picture 76">
              <a:hlinkClick xmlns:r="http://schemas.openxmlformats.org/officeDocument/2006/relationships" r:id="rId67" tooltip="Go to monthly input"/>
            </xdr:cNvPr>
            <xdr:cNvPicPr>
              <a:picLocks noChangeAspect="1"/>
              <a:extLst>
                <a:ext uri="{84589F7E-364E-4C9E-8A38-B11213B215E9}">
                  <a14:cameraTool cellRange="Picture" spid="_x0000_s94606"/>
                </a:ext>
              </a:extLst>
            </xdr:cNvPicPr>
          </xdr:nvPicPr>
          <xdr:blipFill>
            <a:blip xmlns:r="http://schemas.openxmlformats.org/officeDocument/2006/relationships" r:embed="rId13"/>
            <a:stretch>
              <a:fillRect/>
            </a:stretch>
          </xdr:blipFill>
          <xdr:spPr>
            <a:xfrm>
              <a:off x="6103947" y="1646237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137</xdr:row>
          <xdr:rowOff>0</xdr:rowOff>
        </xdr:from>
        <xdr:to>
          <xdr:col>4</xdr:col>
          <xdr:colOff>323351</xdr:colOff>
          <xdr:row>138</xdr:row>
          <xdr:rowOff>5842</xdr:rowOff>
        </xdr:to>
        <xdr:pic>
          <xdr:nvPicPr>
            <xdr:cNvPr id="78" name="Picture 77">
              <a:hlinkClick xmlns:r="http://schemas.openxmlformats.org/officeDocument/2006/relationships" r:id="rId68" tooltip="Go to monthly input"/>
            </xdr:cNvPr>
            <xdr:cNvPicPr>
              <a:picLocks noChangeAspect="1"/>
              <a:extLst>
                <a:ext uri="{84589F7E-364E-4C9E-8A38-B11213B215E9}">
                  <a14:cameraTool cellRange="Picture" spid="_x0000_s94607"/>
                </a:ext>
              </a:extLst>
            </xdr:cNvPicPr>
          </xdr:nvPicPr>
          <xdr:blipFill>
            <a:blip xmlns:r="http://schemas.openxmlformats.org/officeDocument/2006/relationships" r:embed="rId13"/>
            <a:stretch>
              <a:fillRect/>
            </a:stretch>
          </xdr:blipFill>
          <xdr:spPr>
            <a:xfrm>
              <a:off x="6103947" y="16621125"/>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141</xdr:row>
          <xdr:rowOff>0</xdr:rowOff>
        </xdr:from>
        <xdr:to>
          <xdr:col>4</xdr:col>
          <xdr:colOff>323351</xdr:colOff>
          <xdr:row>142</xdr:row>
          <xdr:rowOff>5842</xdr:rowOff>
        </xdr:to>
        <xdr:pic>
          <xdr:nvPicPr>
            <xdr:cNvPr id="79" name="Picture 78">
              <a:hlinkClick xmlns:r="http://schemas.openxmlformats.org/officeDocument/2006/relationships" r:id="rId69" tooltip="Go to monthly input"/>
            </xdr:cNvPr>
            <xdr:cNvPicPr>
              <a:picLocks noChangeAspect="1"/>
              <a:extLst>
                <a:ext uri="{84589F7E-364E-4C9E-8A38-B11213B215E9}">
                  <a14:cameraTool cellRange="Picture" spid="_x0000_s94608"/>
                </a:ext>
              </a:extLst>
            </xdr:cNvPicPr>
          </xdr:nvPicPr>
          <xdr:blipFill>
            <a:blip xmlns:r="http://schemas.openxmlformats.org/officeDocument/2006/relationships" r:embed="rId13"/>
            <a:stretch>
              <a:fillRect/>
            </a:stretch>
          </xdr:blipFill>
          <xdr:spPr>
            <a:xfrm>
              <a:off x="6103947" y="17184688"/>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142</xdr:row>
          <xdr:rowOff>0</xdr:rowOff>
        </xdr:from>
        <xdr:to>
          <xdr:col>4</xdr:col>
          <xdr:colOff>323351</xdr:colOff>
          <xdr:row>143</xdr:row>
          <xdr:rowOff>5842</xdr:rowOff>
        </xdr:to>
        <xdr:pic>
          <xdr:nvPicPr>
            <xdr:cNvPr id="80" name="Picture 79">
              <a:hlinkClick xmlns:r="http://schemas.openxmlformats.org/officeDocument/2006/relationships" r:id="rId70" tooltip="Go to monthly input"/>
            </xdr:cNvPr>
            <xdr:cNvPicPr>
              <a:picLocks noChangeAspect="1"/>
              <a:extLst>
                <a:ext uri="{84589F7E-364E-4C9E-8A38-B11213B215E9}">
                  <a14:cameraTool cellRange="Picture" spid="_x0000_s94609"/>
                </a:ext>
              </a:extLst>
            </xdr:cNvPicPr>
          </xdr:nvPicPr>
          <xdr:blipFill>
            <a:blip xmlns:r="http://schemas.openxmlformats.org/officeDocument/2006/relationships" r:embed="rId13"/>
            <a:stretch>
              <a:fillRect/>
            </a:stretch>
          </xdr:blipFill>
          <xdr:spPr>
            <a:xfrm>
              <a:off x="6103947" y="17343438"/>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143</xdr:row>
          <xdr:rowOff>0</xdr:rowOff>
        </xdr:from>
        <xdr:to>
          <xdr:col>4</xdr:col>
          <xdr:colOff>323351</xdr:colOff>
          <xdr:row>144</xdr:row>
          <xdr:rowOff>5842</xdr:rowOff>
        </xdr:to>
        <xdr:pic>
          <xdr:nvPicPr>
            <xdr:cNvPr id="81" name="Picture 80">
              <a:hlinkClick xmlns:r="http://schemas.openxmlformats.org/officeDocument/2006/relationships" r:id="rId71" tooltip="Go to monthly input"/>
            </xdr:cNvPr>
            <xdr:cNvPicPr>
              <a:picLocks noChangeAspect="1"/>
              <a:extLst>
                <a:ext uri="{84589F7E-364E-4C9E-8A38-B11213B215E9}">
                  <a14:cameraTool cellRange="Picture" spid="_x0000_s94610"/>
                </a:ext>
              </a:extLst>
            </xdr:cNvPicPr>
          </xdr:nvPicPr>
          <xdr:blipFill>
            <a:blip xmlns:r="http://schemas.openxmlformats.org/officeDocument/2006/relationships" r:embed="rId13"/>
            <a:stretch>
              <a:fillRect/>
            </a:stretch>
          </xdr:blipFill>
          <xdr:spPr>
            <a:xfrm>
              <a:off x="6103947" y="17502188"/>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146</xdr:row>
          <xdr:rowOff>0</xdr:rowOff>
        </xdr:from>
        <xdr:to>
          <xdr:col>4</xdr:col>
          <xdr:colOff>323351</xdr:colOff>
          <xdr:row>147</xdr:row>
          <xdr:rowOff>5842</xdr:rowOff>
        </xdr:to>
        <xdr:pic>
          <xdr:nvPicPr>
            <xdr:cNvPr id="82" name="Picture 81">
              <a:hlinkClick xmlns:r="http://schemas.openxmlformats.org/officeDocument/2006/relationships" r:id="rId72" tooltip="Go to monthly input"/>
            </xdr:cNvPr>
            <xdr:cNvPicPr>
              <a:picLocks noChangeAspect="1"/>
              <a:extLst>
                <a:ext uri="{84589F7E-364E-4C9E-8A38-B11213B215E9}">
                  <a14:cameraTool cellRange="Picture" spid="_x0000_s94611"/>
                </a:ext>
              </a:extLst>
            </xdr:cNvPicPr>
          </xdr:nvPicPr>
          <xdr:blipFill>
            <a:blip xmlns:r="http://schemas.openxmlformats.org/officeDocument/2006/relationships" r:embed="rId13"/>
            <a:stretch>
              <a:fillRect/>
            </a:stretch>
          </xdr:blipFill>
          <xdr:spPr>
            <a:xfrm>
              <a:off x="6103947" y="17660938"/>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151</xdr:row>
          <xdr:rowOff>0</xdr:rowOff>
        </xdr:from>
        <xdr:to>
          <xdr:col>4</xdr:col>
          <xdr:colOff>323351</xdr:colOff>
          <xdr:row>152</xdr:row>
          <xdr:rowOff>5842</xdr:rowOff>
        </xdr:to>
        <xdr:pic>
          <xdr:nvPicPr>
            <xdr:cNvPr id="83" name="Picture 82">
              <a:hlinkClick xmlns:r="http://schemas.openxmlformats.org/officeDocument/2006/relationships" r:id="rId73" tooltip="Go to monthly input"/>
            </xdr:cNvPr>
            <xdr:cNvPicPr>
              <a:picLocks noChangeAspect="1"/>
              <a:extLst>
                <a:ext uri="{84589F7E-364E-4C9E-8A38-B11213B215E9}">
                  <a14:cameraTool cellRange="Picture" spid="_x0000_s94612"/>
                </a:ext>
              </a:extLst>
            </xdr:cNvPicPr>
          </xdr:nvPicPr>
          <xdr:blipFill>
            <a:blip xmlns:r="http://schemas.openxmlformats.org/officeDocument/2006/relationships" r:embed="rId13"/>
            <a:stretch>
              <a:fillRect/>
            </a:stretch>
          </xdr:blipFill>
          <xdr:spPr>
            <a:xfrm>
              <a:off x="6102359" y="19659600"/>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156</xdr:row>
          <xdr:rowOff>0</xdr:rowOff>
        </xdr:from>
        <xdr:to>
          <xdr:col>4</xdr:col>
          <xdr:colOff>323351</xdr:colOff>
          <xdr:row>157</xdr:row>
          <xdr:rowOff>5842</xdr:rowOff>
        </xdr:to>
        <xdr:pic>
          <xdr:nvPicPr>
            <xdr:cNvPr id="84" name="Picture 83">
              <a:hlinkClick xmlns:r="http://schemas.openxmlformats.org/officeDocument/2006/relationships" r:id="rId74" tooltip="Go to monthly input"/>
            </xdr:cNvPr>
            <xdr:cNvPicPr>
              <a:picLocks noChangeAspect="1"/>
              <a:extLst>
                <a:ext uri="{84589F7E-364E-4C9E-8A38-B11213B215E9}">
                  <a14:cameraTool cellRange="Picture" spid="_x0000_s94613"/>
                </a:ext>
              </a:extLst>
            </xdr:cNvPicPr>
          </xdr:nvPicPr>
          <xdr:blipFill>
            <a:blip xmlns:r="http://schemas.openxmlformats.org/officeDocument/2006/relationships" r:embed="rId13"/>
            <a:stretch>
              <a:fillRect/>
            </a:stretch>
          </xdr:blipFill>
          <xdr:spPr>
            <a:xfrm>
              <a:off x="6103947" y="17978438"/>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157</xdr:row>
          <xdr:rowOff>0</xdr:rowOff>
        </xdr:from>
        <xdr:to>
          <xdr:col>4</xdr:col>
          <xdr:colOff>323351</xdr:colOff>
          <xdr:row>158</xdr:row>
          <xdr:rowOff>5842</xdr:rowOff>
        </xdr:to>
        <xdr:pic>
          <xdr:nvPicPr>
            <xdr:cNvPr id="85" name="Picture 84">
              <a:hlinkClick xmlns:r="http://schemas.openxmlformats.org/officeDocument/2006/relationships" r:id="rId75" tooltip="Go to monthly input"/>
            </xdr:cNvPr>
            <xdr:cNvPicPr>
              <a:picLocks noChangeAspect="1"/>
              <a:extLst>
                <a:ext uri="{84589F7E-364E-4C9E-8A38-B11213B215E9}">
                  <a14:cameraTool cellRange="Picture" spid="_x0000_s94614"/>
                </a:ext>
              </a:extLst>
            </xdr:cNvPicPr>
          </xdr:nvPicPr>
          <xdr:blipFill>
            <a:blip xmlns:r="http://schemas.openxmlformats.org/officeDocument/2006/relationships" r:embed="rId13"/>
            <a:stretch>
              <a:fillRect/>
            </a:stretch>
          </xdr:blipFill>
          <xdr:spPr>
            <a:xfrm>
              <a:off x="6103947" y="18137188"/>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160</xdr:row>
          <xdr:rowOff>0</xdr:rowOff>
        </xdr:from>
        <xdr:to>
          <xdr:col>4</xdr:col>
          <xdr:colOff>323351</xdr:colOff>
          <xdr:row>161</xdr:row>
          <xdr:rowOff>5842</xdr:rowOff>
        </xdr:to>
        <xdr:pic>
          <xdr:nvPicPr>
            <xdr:cNvPr id="86" name="Picture 85">
              <a:hlinkClick xmlns:r="http://schemas.openxmlformats.org/officeDocument/2006/relationships" r:id="rId76" tooltip="Go to monthly input"/>
            </xdr:cNvPr>
            <xdr:cNvPicPr>
              <a:picLocks noChangeAspect="1"/>
              <a:extLst>
                <a:ext uri="{84589F7E-364E-4C9E-8A38-B11213B215E9}">
                  <a14:cameraTool cellRange="Picture" spid="_x0000_s94615"/>
                </a:ext>
              </a:extLst>
            </xdr:cNvPicPr>
          </xdr:nvPicPr>
          <xdr:blipFill>
            <a:blip xmlns:r="http://schemas.openxmlformats.org/officeDocument/2006/relationships" r:embed="rId13"/>
            <a:stretch>
              <a:fillRect/>
            </a:stretch>
          </xdr:blipFill>
          <xdr:spPr>
            <a:xfrm>
              <a:off x="6102359" y="22250400"/>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163</xdr:row>
          <xdr:rowOff>0</xdr:rowOff>
        </xdr:from>
        <xdr:to>
          <xdr:col>4</xdr:col>
          <xdr:colOff>323351</xdr:colOff>
          <xdr:row>164</xdr:row>
          <xdr:rowOff>5842</xdr:rowOff>
        </xdr:to>
        <xdr:pic>
          <xdr:nvPicPr>
            <xdr:cNvPr id="87" name="Picture 86">
              <a:hlinkClick xmlns:r="http://schemas.openxmlformats.org/officeDocument/2006/relationships" r:id="rId77" tooltip="Go to monthly input"/>
            </xdr:cNvPr>
            <xdr:cNvPicPr>
              <a:picLocks noChangeAspect="1"/>
              <a:extLst>
                <a:ext uri="{84589F7E-364E-4C9E-8A38-B11213B215E9}">
                  <a14:cameraTool cellRange="Picture" spid="_x0000_s94616"/>
                </a:ext>
              </a:extLst>
            </xdr:cNvPicPr>
          </xdr:nvPicPr>
          <xdr:blipFill>
            <a:blip xmlns:r="http://schemas.openxmlformats.org/officeDocument/2006/relationships" r:embed="rId13"/>
            <a:stretch>
              <a:fillRect/>
            </a:stretch>
          </xdr:blipFill>
          <xdr:spPr>
            <a:xfrm>
              <a:off x="6103947" y="18454688"/>
              <a:ext cx="164592" cy="164592"/>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163</xdr:row>
          <xdr:rowOff>0</xdr:rowOff>
        </xdr:from>
        <xdr:to>
          <xdr:col>4</xdr:col>
          <xdr:colOff>323351</xdr:colOff>
          <xdr:row>164</xdr:row>
          <xdr:rowOff>5842</xdr:rowOff>
        </xdr:to>
        <xdr:pic>
          <xdr:nvPicPr>
            <xdr:cNvPr id="88" name="Picture 87">
              <a:hlinkClick xmlns:r="http://schemas.openxmlformats.org/officeDocument/2006/relationships" r:id="rId78" tooltip="Go to monthly input"/>
            </xdr:cNvPr>
            <xdr:cNvPicPr>
              <a:picLocks noChangeAspect="1"/>
              <a:extLst>
                <a:ext uri="{84589F7E-364E-4C9E-8A38-B11213B215E9}">
                  <a14:cameraTool cellRange="Picture" spid="_x0000_s94617"/>
                </a:ext>
              </a:extLst>
            </xdr:cNvPicPr>
          </xdr:nvPicPr>
          <xdr:blipFill>
            <a:blip xmlns:r="http://schemas.openxmlformats.org/officeDocument/2006/relationships" r:embed="rId13"/>
            <a:stretch>
              <a:fillRect/>
            </a:stretch>
          </xdr:blipFill>
          <xdr:spPr>
            <a:xfrm>
              <a:off x="6103947" y="18613438"/>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164</xdr:row>
          <xdr:rowOff>0</xdr:rowOff>
        </xdr:from>
        <xdr:to>
          <xdr:col>4</xdr:col>
          <xdr:colOff>323351</xdr:colOff>
          <xdr:row>164</xdr:row>
          <xdr:rowOff>164592</xdr:rowOff>
        </xdr:to>
        <xdr:pic>
          <xdr:nvPicPr>
            <xdr:cNvPr id="89" name="Picture 88">
              <a:hlinkClick xmlns:r="http://schemas.openxmlformats.org/officeDocument/2006/relationships" r:id="rId79" tooltip="Go to monthly input"/>
            </xdr:cNvPr>
            <xdr:cNvPicPr>
              <a:picLocks noChangeAspect="1"/>
              <a:extLst>
                <a:ext uri="{84589F7E-364E-4C9E-8A38-B11213B215E9}">
                  <a14:cameraTool cellRange="Picture" spid="_x0000_s94618"/>
                </a:ext>
              </a:extLst>
            </xdr:cNvPicPr>
          </xdr:nvPicPr>
          <xdr:blipFill>
            <a:blip xmlns:r="http://schemas.openxmlformats.org/officeDocument/2006/relationships" r:embed="rId13"/>
            <a:stretch>
              <a:fillRect/>
            </a:stretch>
          </xdr:blipFill>
          <xdr:spPr>
            <a:xfrm>
              <a:off x="6103947" y="18772188"/>
              <a:ext cx="164592" cy="164592"/>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59</xdr:row>
          <xdr:rowOff>0</xdr:rowOff>
        </xdr:from>
        <xdr:to>
          <xdr:col>4</xdr:col>
          <xdr:colOff>323351</xdr:colOff>
          <xdr:row>60</xdr:row>
          <xdr:rowOff>5842</xdr:rowOff>
        </xdr:to>
        <xdr:pic>
          <xdr:nvPicPr>
            <xdr:cNvPr id="90" name="Picture 89">
              <a:hlinkClick xmlns:r="http://schemas.openxmlformats.org/officeDocument/2006/relationships" r:id="rId80" tooltip="Go to monthly input"/>
            </xdr:cNvPr>
            <xdr:cNvPicPr>
              <a:picLocks noChangeAspect="1"/>
              <a:extLst>
                <a:ext uri="{84589F7E-364E-4C9E-8A38-B11213B215E9}">
                  <a14:cameraTool cellRange="Picture" spid="_x0000_s94619"/>
                </a:ext>
              </a:extLst>
            </xdr:cNvPicPr>
          </xdr:nvPicPr>
          <xdr:blipFill>
            <a:blip xmlns:r="http://schemas.openxmlformats.org/officeDocument/2006/relationships" r:embed="rId13"/>
            <a:stretch>
              <a:fillRect/>
            </a:stretch>
          </xdr:blipFill>
          <xdr:spPr>
            <a:xfrm>
              <a:off x="6102359" y="8715375"/>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60</xdr:row>
          <xdr:rowOff>0</xdr:rowOff>
        </xdr:from>
        <xdr:to>
          <xdr:col>4</xdr:col>
          <xdr:colOff>323351</xdr:colOff>
          <xdr:row>61</xdr:row>
          <xdr:rowOff>5842</xdr:rowOff>
        </xdr:to>
        <xdr:pic>
          <xdr:nvPicPr>
            <xdr:cNvPr id="91" name="Picture 90">
              <a:hlinkClick xmlns:r="http://schemas.openxmlformats.org/officeDocument/2006/relationships" r:id="rId81" tooltip="Go to monthly input"/>
            </xdr:cNvPr>
            <xdr:cNvPicPr>
              <a:picLocks noChangeAspect="1"/>
              <a:extLst>
                <a:ext uri="{84589F7E-364E-4C9E-8A38-B11213B215E9}">
                  <a14:cameraTool cellRange="Picture" spid="_x0000_s94620"/>
                </a:ext>
              </a:extLst>
            </xdr:cNvPicPr>
          </xdr:nvPicPr>
          <xdr:blipFill>
            <a:blip xmlns:r="http://schemas.openxmlformats.org/officeDocument/2006/relationships" r:embed="rId13"/>
            <a:stretch>
              <a:fillRect/>
            </a:stretch>
          </xdr:blipFill>
          <xdr:spPr>
            <a:xfrm>
              <a:off x="6102359" y="8877300"/>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145</xdr:row>
          <xdr:rowOff>0</xdr:rowOff>
        </xdr:from>
        <xdr:to>
          <xdr:col>4</xdr:col>
          <xdr:colOff>323351</xdr:colOff>
          <xdr:row>146</xdr:row>
          <xdr:rowOff>5842</xdr:rowOff>
        </xdr:to>
        <xdr:pic>
          <xdr:nvPicPr>
            <xdr:cNvPr id="96" name="Picture 95">
              <a:hlinkClick xmlns:r="http://schemas.openxmlformats.org/officeDocument/2006/relationships" r:id="rId82" tooltip="Go to monthly input"/>
            </xdr:cNvPr>
            <xdr:cNvPicPr>
              <a:picLocks noChangeAspect="1"/>
              <a:extLst>
                <a:ext uri="{84589F7E-364E-4C9E-8A38-B11213B215E9}">
                  <a14:cameraTool cellRange="Picture" spid="_x0000_s94621"/>
                </a:ext>
              </a:extLst>
            </xdr:cNvPicPr>
          </xdr:nvPicPr>
          <xdr:blipFill>
            <a:blip xmlns:r="http://schemas.openxmlformats.org/officeDocument/2006/relationships" r:embed="rId13"/>
            <a:stretch>
              <a:fillRect/>
            </a:stretch>
          </xdr:blipFill>
          <xdr:spPr>
            <a:xfrm>
              <a:off x="6102359" y="18688050"/>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144</xdr:row>
          <xdr:rowOff>0</xdr:rowOff>
        </xdr:from>
        <xdr:to>
          <xdr:col>4</xdr:col>
          <xdr:colOff>323351</xdr:colOff>
          <xdr:row>145</xdr:row>
          <xdr:rowOff>5842</xdr:rowOff>
        </xdr:to>
        <xdr:pic>
          <xdr:nvPicPr>
            <xdr:cNvPr id="97" name="Picture 96">
              <a:hlinkClick xmlns:r="http://schemas.openxmlformats.org/officeDocument/2006/relationships" r:id="rId83" tooltip="Go to monthly input"/>
            </xdr:cNvPr>
            <xdr:cNvPicPr>
              <a:picLocks noChangeAspect="1"/>
              <a:extLst>
                <a:ext uri="{84589F7E-364E-4C9E-8A38-B11213B215E9}">
                  <a14:cameraTool cellRange="Picture" spid="_x0000_s94622"/>
                </a:ext>
              </a:extLst>
            </xdr:cNvPicPr>
          </xdr:nvPicPr>
          <xdr:blipFill>
            <a:blip xmlns:r="http://schemas.openxmlformats.org/officeDocument/2006/relationships" r:embed="rId13"/>
            <a:stretch>
              <a:fillRect/>
            </a:stretch>
          </xdr:blipFill>
          <xdr:spPr>
            <a:xfrm>
              <a:off x="6102359" y="18526125"/>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147</xdr:row>
          <xdr:rowOff>0</xdr:rowOff>
        </xdr:from>
        <xdr:to>
          <xdr:col>4</xdr:col>
          <xdr:colOff>323351</xdr:colOff>
          <xdr:row>148</xdr:row>
          <xdr:rowOff>5842</xdr:rowOff>
        </xdr:to>
        <xdr:pic>
          <xdr:nvPicPr>
            <xdr:cNvPr id="98" name="Picture 97">
              <a:hlinkClick xmlns:r="http://schemas.openxmlformats.org/officeDocument/2006/relationships" r:id="rId84" tooltip="Go to monthly input"/>
            </xdr:cNvPr>
            <xdr:cNvPicPr>
              <a:picLocks noChangeAspect="1"/>
              <a:extLst>
                <a:ext uri="{84589F7E-364E-4C9E-8A38-B11213B215E9}">
                  <a14:cameraTool cellRange="Picture" spid="_x0000_s94623"/>
                </a:ext>
              </a:extLst>
            </xdr:cNvPicPr>
          </xdr:nvPicPr>
          <xdr:blipFill>
            <a:blip xmlns:r="http://schemas.openxmlformats.org/officeDocument/2006/relationships" r:embed="rId13"/>
            <a:stretch>
              <a:fillRect/>
            </a:stretch>
          </xdr:blipFill>
          <xdr:spPr>
            <a:xfrm>
              <a:off x="6102359" y="19011900"/>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148</xdr:row>
          <xdr:rowOff>0</xdr:rowOff>
        </xdr:from>
        <xdr:to>
          <xdr:col>4</xdr:col>
          <xdr:colOff>323351</xdr:colOff>
          <xdr:row>149</xdr:row>
          <xdr:rowOff>5842</xdr:rowOff>
        </xdr:to>
        <xdr:pic>
          <xdr:nvPicPr>
            <xdr:cNvPr id="99" name="Picture 98">
              <a:hlinkClick xmlns:r="http://schemas.openxmlformats.org/officeDocument/2006/relationships" r:id="rId85" tooltip="Go to monthly input"/>
            </xdr:cNvPr>
            <xdr:cNvPicPr>
              <a:picLocks noChangeAspect="1"/>
              <a:extLst>
                <a:ext uri="{84589F7E-364E-4C9E-8A38-B11213B215E9}">
                  <a14:cameraTool cellRange="Picture" spid="_x0000_s94624"/>
                </a:ext>
              </a:extLst>
            </xdr:cNvPicPr>
          </xdr:nvPicPr>
          <xdr:blipFill>
            <a:blip xmlns:r="http://schemas.openxmlformats.org/officeDocument/2006/relationships" r:embed="rId13"/>
            <a:stretch>
              <a:fillRect/>
            </a:stretch>
          </xdr:blipFill>
          <xdr:spPr>
            <a:xfrm>
              <a:off x="6102359" y="19173825"/>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149</xdr:row>
          <xdr:rowOff>0</xdr:rowOff>
        </xdr:from>
        <xdr:to>
          <xdr:col>4</xdr:col>
          <xdr:colOff>323351</xdr:colOff>
          <xdr:row>150</xdr:row>
          <xdr:rowOff>5842</xdr:rowOff>
        </xdr:to>
        <xdr:pic>
          <xdr:nvPicPr>
            <xdr:cNvPr id="100" name="Picture 99">
              <a:hlinkClick xmlns:r="http://schemas.openxmlformats.org/officeDocument/2006/relationships" r:id="rId86" tooltip="Go to monthly input"/>
            </xdr:cNvPr>
            <xdr:cNvPicPr>
              <a:picLocks noChangeAspect="1"/>
              <a:extLst>
                <a:ext uri="{84589F7E-364E-4C9E-8A38-B11213B215E9}">
                  <a14:cameraTool cellRange="Picture" spid="_x0000_s94625"/>
                </a:ext>
              </a:extLst>
            </xdr:cNvPicPr>
          </xdr:nvPicPr>
          <xdr:blipFill>
            <a:blip xmlns:r="http://schemas.openxmlformats.org/officeDocument/2006/relationships" r:embed="rId13"/>
            <a:stretch>
              <a:fillRect/>
            </a:stretch>
          </xdr:blipFill>
          <xdr:spPr>
            <a:xfrm>
              <a:off x="6102359" y="19335750"/>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150</xdr:row>
          <xdr:rowOff>0</xdr:rowOff>
        </xdr:from>
        <xdr:to>
          <xdr:col>4</xdr:col>
          <xdr:colOff>323351</xdr:colOff>
          <xdr:row>151</xdr:row>
          <xdr:rowOff>5842</xdr:rowOff>
        </xdr:to>
        <xdr:pic>
          <xdr:nvPicPr>
            <xdr:cNvPr id="101" name="Picture 100">
              <a:hlinkClick xmlns:r="http://schemas.openxmlformats.org/officeDocument/2006/relationships" r:id="rId87" tooltip="Go to monthly input"/>
            </xdr:cNvPr>
            <xdr:cNvPicPr>
              <a:picLocks noChangeAspect="1"/>
              <a:extLst>
                <a:ext uri="{84589F7E-364E-4C9E-8A38-B11213B215E9}">
                  <a14:cameraTool cellRange="Picture" spid="_x0000_s94626"/>
                </a:ext>
              </a:extLst>
            </xdr:cNvPicPr>
          </xdr:nvPicPr>
          <xdr:blipFill>
            <a:blip xmlns:r="http://schemas.openxmlformats.org/officeDocument/2006/relationships" r:embed="rId13"/>
            <a:stretch>
              <a:fillRect/>
            </a:stretch>
          </xdr:blipFill>
          <xdr:spPr>
            <a:xfrm>
              <a:off x="6102359" y="19497675"/>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152</xdr:row>
          <xdr:rowOff>0</xdr:rowOff>
        </xdr:from>
        <xdr:to>
          <xdr:col>4</xdr:col>
          <xdr:colOff>323351</xdr:colOff>
          <xdr:row>153</xdr:row>
          <xdr:rowOff>5842</xdr:rowOff>
        </xdr:to>
        <xdr:pic>
          <xdr:nvPicPr>
            <xdr:cNvPr id="102" name="Picture 101">
              <a:hlinkClick xmlns:r="http://schemas.openxmlformats.org/officeDocument/2006/relationships" r:id="rId88" tooltip="Go to monthly input"/>
            </xdr:cNvPr>
            <xdr:cNvPicPr>
              <a:picLocks noChangeAspect="1"/>
              <a:extLst>
                <a:ext uri="{84589F7E-364E-4C9E-8A38-B11213B215E9}">
                  <a14:cameraTool cellRange="Picture" spid="_x0000_s94627"/>
                </a:ext>
              </a:extLst>
            </xdr:cNvPicPr>
          </xdr:nvPicPr>
          <xdr:blipFill>
            <a:blip xmlns:r="http://schemas.openxmlformats.org/officeDocument/2006/relationships" r:embed="rId13"/>
            <a:stretch>
              <a:fillRect/>
            </a:stretch>
          </xdr:blipFill>
          <xdr:spPr>
            <a:xfrm>
              <a:off x="6102359" y="19821525"/>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153</xdr:row>
          <xdr:rowOff>0</xdr:rowOff>
        </xdr:from>
        <xdr:to>
          <xdr:col>4</xdr:col>
          <xdr:colOff>323351</xdr:colOff>
          <xdr:row>154</xdr:row>
          <xdr:rowOff>5842</xdr:rowOff>
        </xdr:to>
        <xdr:pic>
          <xdr:nvPicPr>
            <xdr:cNvPr id="103" name="Picture 102">
              <a:hlinkClick xmlns:r="http://schemas.openxmlformats.org/officeDocument/2006/relationships" r:id="rId89" tooltip="Go to monthly input"/>
            </xdr:cNvPr>
            <xdr:cNvPicPr>
              <a:picLocks noChangeAspect="1"/>
              <a:extLst>
                <a:ext uri="{84589F7E-364E-4C9E-8A38-B11213B215E9}">
                  <a14:cameraTool cellRange="Picture" spid="_x0000_s94628"/>
                </a:ext>
              </a:extLst>
            </xdr:cNvPicPr>
          </xdr:nvPicPr>
          <xdr:blipFill>
            <a:blip xmlns:r="http://schemas.openxmlformats.org/officeDocument/2006/relationships" r:embed="rId13"/>
            <a:stretch>
              <a:fillRect/>
            </a:stretch>
          </xdr:blipFill>
          <xdr:spPr>
            <a:xfrm>
              <a:off x="6102359" y="19983450"/>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154</xdr:row>
          <xdr:rowOff>0</xdr:rowOff>
        </xdr:from>
        <xdr:to>
          <xdr:col>4</xdr:col>
          <xdr:colOff>323351</xdr:colOff>
          <xdr:row>155</xdr:row>
          <xdr:rowOff>5842</xdr:rowOff>
        </xdr:to>
        <xdr:pic>
          <xdr:nvPicPr>
            <xdr:cNvPr id="104" name="Picture 103">
              <a:hlinkClick xmlns:r="http://schemas.openxmlformats.org/officeDocument/2006/relationships" r:id="rId90" tooltip="Go to monthly input"/>
            </xdr:cNvPr>
            <xdr:cNvPicPr>
              <a:picLocks noChangeAspect="1"/>
              <a:extLst>
                <a:ext uri="{84589F7E-364E-4C9E-8A38-B11213B215E9}">
                  <a14:cameraTool cellRange="Picture" spid="_x0000_s94629"/>
                </a:ext>
              </a:extLst>
            </xdr:cNvPicPr>
          </xdr:nvPicPr>
          <xdr:blipFill>
            <a:blip xmlns:r="http://schemas.openxmlformats.org/officeDocument/2006/relationships" r:embed="rId13"/>
            <a:stretch>
              <a:fillRect/>
            </a:stretch>
          </xdr:blipFill>
          <xdr:spPr>
            <a:xfrm>
              <a:off x="6102359" y="20145375"/>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155</xdr:row>
          <xdr:rowOff>0</xdr:rowOff>
        </xdr:from>
        <xdr:to>
          <xdr:col>4</xdr:col>
          <xdr:colOff>323351</xdr:colOff>
          <xdr:row>156</xdr:row>
          <xdr:rowOff>5842</xdr:rowOff>
        </xdr:to>
        <xdr:pic>
          <xdr:nvPicPr>
            <xdr:cNvPr id="105" name="Picture 104">
              <a:hlinkClick xmlns:r="http://schemas.openxmlformats.org/officeDocument/2006/relationships" r:id="rId91" tooltip="Go to monthly input"/>
            </xdr:cNvPr>
            <xdr:cNvPicPr>
              <a:picLocks noChangeAspect="1"/>
              <a:extLst>
                <a:ext uri="{84589F7E-364E-4C9E-8A38-B11213B215E9}">
                  <a14:cameraTool cellRange="Picture" spid="_x0000_s94630"/>
                </a:ext>
              </a:extLst>
            </xdr:cNvPicPr>
          </xdr:nvPicPr>
          <xdr:blipFill>
            <a:blip xmlns:r="http://schemas.openxmlformats.org/officeDocument/2006/relationships" r:embed="rId13"/>
            <a:stretch>
              <a:fillRect/>
            </a:stretch>
          </xdr:blipFill>
          <xdr:spPr>
            <a:xfrm>
              <a:off x="6102359" y="20307300"/>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158</xdr:row>
          <xdr:rowOff>0</xdr:rowOff>
        </xdr:from>
        <xdr:to>
          <xdr:col>4</xdr:col>
          <xdr:colOff>323351</xdr:colOff>
          <xdr:row>159</xdr:row>
          <xdr:rowOff>5842</xdr:rowOff>
        </xdr:to>
        <xdr:pic>
          <xdr:nvPicPr>
            <xdr:cNvPr id="106" name="Picture 105">
              <a:hlinkClick xmlns:r="http://schemas.openxmlformats.org/officeDocument/2006/relationships" r:id="rId92" tooltip="Go to monthly input"/>
            </xdr:cNvPr>
            <xdr:cNvPicPr>
              <a:picLocks noChangeAspect="1"/>
              <a:extLst>
                <a:ext uri="{84589F7E-364E-4C9E-8A38-B11213B215E9}">
                  <a14:cameraTool cellRange="Picture" spid="_x0000_s94631"/>
                </a:ext>
              </a:extLst>
            </xdr:cNvPicPr>
          </xdr:nvPicPr>
          <xdr:blipFill>
            <a:blip xmlns:r="http://schemas.openxmlformats.org/officeDocument/2006/relationships" r:embed="rId13"/>
            <a:stretch>
              <a:fillRect/>
            </a:stretch>
          </xdr:blipFill>
          <xdr:spPr>
            <a:xfrm>
              <a:off x="6102359" y="20793075"/>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159</xdr:row>
          <xdr:rowOff>0</xdr:rowOff>
        </xdr:from>
        <xdr:to>
          <xdr:col>4</xdr:col>
          <xdr:colOff>323351</xdr:colOff>
          <xdr:row>160</xdr:row>
          <xdr:rowOff>5842</xdr:rowOff>
        </xdr:to>
        <xdr:pic>
          <xdr:nvPicPr>
            <xdr:cNvPr id="107" name="Picture 106">
              <a:hlinkClick xmlns:r="http://schemas.openxmlformats.org/officeDocument/2006/relationships" r:id="rId93" tooltip="Go to monthly input"/>
            </xdr:cNvPr>
            <xdr:cNvPicPr>
              <a:picLocks noChangeAspect="1"/>
              <a:extLst>
                <a:ext uri="{84589F7E-364E-4C9E-8A38-B11213B215E9}">
                  <a14:cameraTool cellRange="Picture" spid="_x0000_s94632"/>
                </a:ext>
              </a:extLst>
            </xdr:cNvPicPr>
          </xdr:nvPicPr>
          <xdr:blipFill>
            <a:blip xmlns:r="http://schemas.openxmlformats.org/officeDocument/2006/relationships" r:embed="rId13"/>
            <a:stretch>
              <a:fillRect/>
            </a:stretch>
          </xdr:blipFill>
          <xdr:spPr>
            <a:xfrm>
              <a:off x="6102359" y="20955000"/>
              <a:ext cx="164592" cy="167767"/>
            </a:xfrm>
            <a:prstGeom prst="rect">
              <a:avLst/>
            </a:prstGeom>
          </xdr:spPr>
        </xdr:pic>
        <xdr:clientData fPrintsWithSheet="0"/>
      </xdr:twoCellAnchor>
    </mc:Choice>
    <mc:Fallback/>
  </mc:AlternateContent>
  <xdr:oneCellAnchor>
    <xdr:from>
      <xdr:col>1</xdr:col>
      <xdr:colOff>28576</xdr:colOff>
      <xdr:row>69</xdr:row>
      <xdr:rowOff>47625</xdr:rowOff>
    </xdr:from>
    <xdr:ext cx="685800" cy="691562"/>
    <xdr:pic>
      <xdr:nvPicPr>
        <xdr:cNvPr id="94" name="Picture 9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6" y="1181100"/>
          <a:ext cx="685800" cy="691562"/>
        </a:xfrm>
        <a:prstGeom prst="rect">
          <a:avLst/>
        </a:prstGeom>
      </xdr:spPr>
    </xdr:pic>
    <xdr:clientData/>
  </xdr:oneCellAnchor>
  <xdr:oneCellAnchor>
    <xdr:from>
      <xdr:col>1</xdr:col>
      <xdr:colOff>28576</xdr:colOff>
      <xdr:row>125</xdr:row>
      <xdr:rowOff>47625</xdr:rowOff>
    </xdr:from>
    <xdr:ext cx="685800" cy="691562"/>
    <xdr:pic>
      <xdr:nvPicPr>
        <xdr:cNvPr id="95" name="Picture 9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6" y="9820275"/>
          <a:ext cx="685800" cy="691562"/>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4</xdr:col>
          <xdr:colOff>158759</xdr:colOff>
          <xdr:row>115</xdr:row>
          <xdr:rowOff>0</xdr:rowOff>
        </xdr:from>
        <xdr:to>
          <xdr:col>4</xdr:col>
          <xdr:colOff>323351</xdr:colOff>
          <xdr:row>116</xdr:row>
          <xdr:rowOff>5842</xdr:rowOff>
        </xdr:to>
        <xdr:pic>
          <xdr:nvPicPr>
            <xdr:cNvPr id="108" name="Picture 107">
              <a:hlinkClick xmlns:r="http://schemas.openxmlformats.org/officeDocument/2006/relationships" r:id="rId94" tooltip="Go to monthly input"/>
            </xdr:cNvPr>
            <xdr:cNvPicPr>
              <a:picLocks noChangeAspect="1"/>
              <a:extLst>
                <a:ext uri="{84589F7E-364E-4C9E-8A38-B11213B215E9}">
                  <a14:cameraTool cellRange="Picture" spid="_x0000_s94633"/>
                </a:ext>
              </a:extLst>
            </xdr:cNvPicPr>
          </xdr:nvPicPr>
          <xdr:blipFill>
            <a:blip xmlns:r="http://schemas.openxmlformats.org/officeDocument/2006/relationships" r:embed="rId13"/>
            <a:stretch>
              <a:fillRect/>
            </a:stretch>
          </xdr:blipFill>
          <xdr:spPr>
            <a:xfrm>
              <a:off x="6102359" y="15706725"/>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116</xdr:row>
          <xdr:rowOff>0</xdr:rowOff>
        </xdr:from>
        <xdr:to>
          <xdr:col>4</xdr:col>
          <xdr:colOff>323351</xdr:colOff>
          <xdr:row>117</xdr:row>
          <xdr:rowOff>5842</xdr:rowOff>
        </xdr:to>
        <xdr:pic>
          <xdr:nvPicPr>
            <xdr:cNvPr id="109" name="Picture 108">
              <a:hlinkClick xmlns:r="http://schemas.openxmlformats.org/officeDocument/2006/relationships" r:id="rId95" tooltip="Go to monthly input"/>
            </xdr:cNvPr>
            <xdr:cNvPicPr>
              <a:picLocks noChangeAspect="1"/>
              <a:extLst>
                <a:ext uri="{84589F7E-364E-4C9E-8A38-B11213B215E9}">
                  <a14:cameraTool cellRange="Picture" spid="_x0000_s94634"/>
                </a:ext>
              </a:extLst>
            </xdr:cNvPicPr>
          </xdr:nvPicPr>
          <xdr:blipFill>
            <a:blip xmlns:r="http://schemas.openxmlformats.org/officeDocument/2006/relationships" r:embed="rId13"/>
            <a:stretch>
              <a:fillRect/>
            </a:stretch>
          </xdr:blipFill>
          <xdr:spPr>
            <a:xfrm>
              <a:off x="6102359" y="15868650"/>
              <a:ext cx="164592" cy="167767"/>
            </a:xfrm>
            <a:prstGeom prst="rect">
              <a:avLst/>
            </a:prstGeom>
          </xdr:spPr>
        </xdr:pic>
        <xdr:clientData fPrintsWithSheet="0"/>
      </xdr:twoCellAnchor>
    </mc:Choice>
    <mc:Fallback/>
  </mc:AlternateContent>
  <xdr:twoCellAnchor editAs="oneCell">
    <xdr:from>
      <xdr:col>4</xdr:col>
      <xdr:colOff>0</xdr:colOff>
      <xdr:row>0</xdr:row>
      <xdr:rowOff>0</xdr:rowOff>
    </xdr:from>
    <xdr:to>
      <xdr:col>6</xdr:col>
      <xdr:colOff>67056</xdr:colOff>
      <xdr:row>8</xdr:row>
      <xdr:rowOff>60960</xdr:rowOff>
    </xdr:to>
    <xdr:sp macro="[0]!PrintBS_Final" textlink="">
      <xdr:nvSpPr>
        <xdr:cNvPr id="112" name="Rectangle 111">
          <a:hlinkClick xmlns:r="http://schemas.openxmlformats.org/officeDocument/2006/relationships" r:id="rId96" tooltip="Go to General Info"/>
        </xdr:cNvPr>
        <xdr:cNvSpPr/>
      </xdr:nvSpPr>
      <xdr:spPr>
        <a:xfrm>
          <a:off x="5943600" y="0"/>
          <a:ext cx="1591056" cy="365760"/>
        </a:xfrm>
        <a:prstGeom prst="rect">
          <a:avLst/>
        </a:prstGeom>
        <a:solidFill>
          <a:srgbClr val="F37321"/>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t>Go</a:t>
          </a:r>
          <a:r>
            <a:rPr lang="en-US" sz="1400" b="1" baseline="0"/>
            <a:t> to Gen Info</a:t>
          </a:r>
          <a:endParaRPr lang="en-US" sz="1400" b="1"/>
        </a:p>
      </xdr:txBody>
    </xdr:sp>
    <xdr:clientData fPrintsWithSheet="0"/>
  </xdr:twoCellAnchor>
  <xdr:twoCellAnchor>
    <xdr:from>
      <xdr:col>6</xdr:col>
      <xdr:colOff>152399</xdr:colOff>
      <xdr:row>0</xdr:row>
      <xdr:rowOff>1</xdr:rowOff>
    </xdr:from>
    <xdr:to>
      <xdr:col>10</xdr:col>
      <xdr:colOff>457200</xdr:colOff>
      <xdr:row>8</xdr:row>
      <xdr:rowOff>60961</xdr:rowOff>
    </xdr:to>
    <xdr:sp macro="[0]!PrintBS_Final" textlink="">
      <xdr:nvSpPr>
        <xdr:cNvPr id="111" name="Rectangle 110">
          <a:hlinkClick xmlns:r="http://schemas.openxmlformats.org/officeDocument/2006/relationships" r:id="rId97" tooltip="Go to Online Help Video"/>
        </xdr:cNvPr>
        <xdr:cNvSpPr/>
      </xdr:nvSpPr>
      <xdr:spPr>
        <a:xfrm>
          <a:off x="7619999" y="1"/>
          <a:ext cx="2971801" cy="365760"/>
        </a:xfrm>
        <a:prstGeom prst="rect">
          <a:avLst/>
        </a:prstGeom>
        <a:solidFill>
          <a:srgbClr val="F37321"/>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t>View the</a:t>
          </a:r>
          <a:r>
            <a:rPr lang="en-US" sz="1400" b="1" baseline="0"/>
            <a:t> help video (opens browser)</a:t>
          </a:r>
          <a:endParaRPr lang="en-US" sz="1400" b="1"/>
        </a:p>
      </xdr:txBody>
    </xdr:sp>
    <xdr:clientData/>
  </xdr:twoCellAnchor>
  <mc:AlternateContent xmlns:mc="http://schemas.openxmlformats.org/markup-compatibility/2006">
    <mc:Choice xmlns:a14="http://schemas.microsoft.com/office/drawing/2010/main" Requires="a14">
      <xdr:twoCellAnchor editAs="oneCell">
        <xdr:from>
          <xdr:col>4</xdr:col>
          <xdr:colOff>158759</xdr:colOff>
          <xdr:row>63</xdr:row>
          <xdr:rowOff>0</xdr:rowOff>
        </xdr:from>
        <xdr:to>
          <xdr:col>4</xdr:col>
          <xdr:colOff>323351</xdr:colOff>
          <xdr:row>64</xdr:row>
          <xdr:rowOff>5842</xdr:rowOff>
        </xdr:to>
        <xdr:pic>
          <xdr:nvPicPr>
            <xdr:cNvPr id="110" name="Picture 109">
              <a:hlinkClick xmlns:r="http://schemas.openxmlformats.org/officeDocument/2006/relationships" r:id="rId98" tooltip="Go to monthly input"/>
            </xdr:cNvPr>
            <xdr:cNvPicPr>
              <a:picLocks noChangeAspect="1"/>
              <a:extLst>
                <a:ext uri="{84589F7E-364E-4C9E-8A38-B11213B215E9}">
                  <a14:cameraTool cellRange="Picture" spid="_x0000_s94635"/>
                </a:ext>
              </a:extLst>
            </xdr:cNvPicPr>
          </xdr:nvPicPr>
          <xdr:blipFill>
            <a:blip xmlns:r="http://schemas.openxmlformats.org/officeDocument/2006/relationships" r:embed="rId13"/>
            <a:stretch>
              <a:fillRect/>
            </a:stretch>
          </xdr:blipFill>
          <xdr:spPr>
            <a:xfrm>
              <a:off x="6102359" y="8696325"/>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62</xdr:row>
          <xdr:rowOff>0</xdr:rowOff>
        </xdr:from>
        <xdr:to>
          <xdr:col>4</xdr:col>
          <xdr:colOff>323351</xdr:colOff>
          <xdr:row>63</xdr:row>
          <xdr:rowOff>5842</xdr:rowOff>
        </xdr:to>
        <xdr:pic>
          <xdr:nvPicPr>
            <xdr:cNvPr id="113" name="Picture 112">
              <a:hlinkClick xmlns:r="http://schemas.openxmlformats.org/officeDocument/2006/relationships" r:id="rId99" tooltip="Go to monthly input"/>
            </xdr:cNvPr>
            <xdr:cNvPicPr>
              <a:picLocks noChangeAspect="1"/>
              <a:extLst>
                <a:ext uri="{84589F7E-364E-4C9E-8A38-B11213B215E9}">
                  <a14:cameraTool cellRange="Picture" spid="_x0000_s94636"/>
                </a:ext>
              </a:extLst>
            </xdr:cNvPicPr>
          </xdr:nvPicPr>
          <xdr:blipFill>
            <a:blip xmlns:r="http://schemas.openxmlformats.org/officeDocument/2006/relationships" r:embed="rId13"/>
            <a:stretch>
              <a:fillRect/>
            </a:stretch>
          </xdr:blipFill>
          <xdr:spPr>
            <a:xfrm>
              <a:off x="6102359" y="8534400"/>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117</xdr:row>
          <xdr:rowOff>0</xdr:rowOff>
        </xdr:from>
        <xdr:to>
          <xdr:col>4</xdr:col>
          <xdr:colOff>323351</xdr:colOff>
          <xdr:row>118</xdr:row>
          <xdr:rowOff>5842</xdr:rowOff>
        </xdr:to>
        <xdr:pic>
          <xdr:nvPicPr>
            <xdr:cNvPr id="114" name="Picture 113">
              <a:hlinkClick xmlns:r="http://schemas.openxmlformats.org/officeDocument/2006/relationships" r:id="rId100" tooltip="Go to monthly input"/>
            </xdr:cNvPr>
            <xdr:cNvPicPr>
              <a:picLocks noChangeAspect="1"/>
              <a:extLst>
                <a:ext uri="{84589F7E-364E-4C9E-8A38-B11213B215E9}">
                  <a14:cameraTool cellRange="Picture" spid="_x0000_s94637"/>
                </a:ext>
              </a:extLst>
            </xdr:cNvPicPr>
          </xdr:nvPicPr>
          <xdr:blipFill>
            <a:blip xmlns:r="http://schemas.openxmlformats.org/officeDocument/2006/relationships" r:embed="rId13"/>
            <a:stretch>
              <a:fillRect/>
            </a:stretch>
          </xdr:blipFill>
          <xdr:spPr>
            <a:xfrm>
              <a:off x="6102359" y="16430625"/>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103</xdr:row>
          <xdr:rowOff>0</xdr:rowOff>
        </xdr:from>
        <xdr:to>
          <xdr:col>4</xdr:col>
          <xdr:colOff>323351</xdr:colOff>
          <xdr:row>104</xdr:row>
          <xdr:rowOff>5842</xdr:rowOff>
        </xdr:to>
        <xdr:pic>
          <xdr:nvPicPr>
            <xdr:cNvPr id="115" name="Picture 114">
              <a:hlinkClick xmlns:r="http://schemas.openxmlformats.org/officeDocument/2006/relationships" r:id="rId101" tooltip="Go to monthly input"/>
            </xdr:cNvPr>
            <xdr:cNvPicPr>
              <a:picLocks noChangeAspect="1"/>
              <a:extLst>
                <a:ext uri="{84589F7E-364E-4C9E-8A38-B11213B215E9}">
                  <a14:cameraTool cellRange="Picture" spid="_x0000_s94638"/>
                </a:ext>
              </a:extLst>
            </xdr:cNvPicPr>
          </xdr:nvPicPr>
          <xdr:blipFill>
            <a:blip xmlns:r="http://schemas.openxmlformats.org/officeDocument/2006/relationships" r:embed="rId13"/>
            <a:stretch>
              <a:fillRect/>
            </a:stretch>
          </xdr:blipFill>
          <xdr:spPr>
            <a:xfrm>
              <a:off x="6102359" y="14001750"/>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161</xdr:row>
          <xdr:rowOff>0</xdr:rowOff>
        </xdr:from>
        <xdr:to>
          <xdr:col>4</xdr:col>
          <xdr:colOff>323351</xdr:colOff>
          <xdr:row>162</xdr:row>
          <xdr:rowOff>5842</xdr:rowOff>
        </xdr:to>
        <xdr:pic>
          <xdr:nvPicPr>
            <xdr:cNvPr id="116" name="Picture 115">
              <a:hlinkClick xmlns:r="http://schemas.openxmlformats.org/officeDocument/2006/relationships" r:id="rId102" tooltip="Go to monthly input"/>
            </xdr:cNvPr>
            <xdr:cNvPicPr>
              <a:picLocks noChangeAspect="1"/>
              <a:extLst>
                <a:ext uri="{84589F7E-364E-4C9E-8A38-B11213B215E9}">
                  <a14:cameraTool cellRange="Picture" spid="_x0000_s94639"/>
                </a:ext>
              </a:extLst>
            </xdr:cNvPicPr>
          </xdr:nvPicPr>
          <xdr:blipFill>
            <a:blip xmlns:r="http://schemas.openxmlformats.org/officeDocument/2006/relationships" r:embed="rId13"/>
            <a:stretch>
              <a:fillRect/>
            </a:stretch>
          </xdr:blipFill>
          <xdr:spPr>
            <a:xfrm>
              <a:off x="6102359" y="22412325"/>
              <a:ext cx="164592" cy="167767"/>
            </a:xfrm>
            <a:prstGeom prst="rect">
              <a:avLst/>
            </a:prstGeom>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158759</xdr:colOff>
          <xdr:row>162</xdr:row>
          <xdr:rowOff>0</xdr:rowOff>
        </xdr:from>
        <xdr:to>
          <xdr:col>4</xdr:col>
          <xdr:colOff>323351</xdr:colOff>
          <xdr:row>163</xdr:row>
          <xdr:rowOff>5842</xdr:rowOff>
        </xdr:to>
        <xdr:pic>
          <xdr:nvPicPr>
            <xdr:cNvPr id="117" name="Picture 116">
              <a:hlinkClick xmlns:r="http://schemas.openxmlformats.org/officeDocument/2006/relationships" r:id="rId103" tooltip="Go to monthly input"/>
            </xdr:cNvPr>
            <xdr:cNvPicPr>
              <a:picLocks noChangeAspect="1"/>
              <a:extLst>
                <a:ext uri="{84589F7E-364E-4C9E-8A38-B11213B215E9}">
                  <a14:cameraTool cellRange="Picture" spid="_x0000_s94640"/>
                </a:ext>
              </a:extLst>
            </xdr:cNvPicPr>
          </xdr:nvPicPr>
          <xdr:blipFill>
            <a:blip xmlns:r="http://schemas.openxmlformats.org/officeDocument/2006/relationships" r:embed="rId13"/>
            <a:stretch>
              <a:fillRect/>
            </a:stretch>
          </xdr:blipFill>
          <xdr:spPr>
            <a:xfrm>
              <a:off x="6102359" y="22574250"/>
              <a:ext cx="164592" cy="167767"/>
            </a:xfrm>
            <a:prstGeom prst="rect">
              <a:avLst/>
            </a:prstGeom>
          </xdr:spPr>
        </xdr:pic>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135732</xdr:colOff>
      <xdr:row>2</xdr:row>
      <xdr:rowOff>9525</xdr:rowOff>
    </xdr:from>
    <xdr:to>
      <xdr:col>1</xdr:col>
      <xdr:colOff>781922</xdr:colOff>
      <xdr:row>5</xdr:row>
      <xdr:rowOff>141605</xdr:rowOff>
    </xdr:to>
    <xdr:pic>
      <xdr:nvPicPr>
        <xdr:cNvPr id="4" name="Pictur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5732" y="327025"/>
          <a:ext cx="646190" cy="640080"/>
        </a:xfrm>
        <a:prstGeom prst="rect">
          <a:avLst/>
        </a:prstGeom>
      </xdr:spPr>
    </xdr:pic>
    <xdr:clientData/>
  </xdr:twoCellAnchor>
  <xdr:twoCellAnchor editAs="oneCell">
    <xdr:from>
      <xdr:col>1</xdr:col>
      <xdr:colOff>2897981</xdr:colOff>
      <xdr:row>110</xdr:row>
      <xdr:rowOff>5411</xdr:rowOff>
    </xdr:from>
    <xdr:to>
      <xdr:col>2</xdr:col>
      <xdr:colOff>22040</xdr:colOff>
      <xdr:row>110</xdr:row>
      <xdr:rowOff>186995</xdr:rowOff>
    </xdr:to>
    <xdr:pic>
      <xdr:nvPicPr>
        <xdr:cNvPr id="5" name="Picture 4">
          <a:hlinkClick xmlns:r="http://schemas.openxmlformats.org/officeDocument/2006/relationships" r:id="rId2" tooltip="Go back to General Info to change personal details option"/>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97981" y="15797861"/>
          <a:ext cx="181584" cy="181584"/>
        </a:xfrm>
        <a:prstGeom prst="rect">
          <a:avLst/>
        </a:prstGeom>
      </xdr:spPr>
    </xdr:pic>
    <xdr:clientData fPrintsWithSheet="0"/>
  </xdr:twoCellAnchor>
  <xdr:twoCellAnchor editAs="oneCell">
    <xdr:from>
      <xdr:col>1</xdr:col>
      <xdr:colOff>2797969</xdr:colOff>
      <xdr:row>8</xdr:row>
      <xdr:rowOff>13096</xdr:rowOff>
    </xdr:from>
    <xdr:to>
      <xdr:col>2</xdr:col>
      <xdr:colOff>1</xdr:colOff>
      <xdr:row>9</xdr:row>
      <xdr:rowOff>82153</xdr:rowOff>
    </xdr:to>
    <xdr:pic>
      <xdr:nvPicPr>
        <xdr:cNvPr id="3" name="Picture 2">
          <a:hlinkClick xmlns:r="http://schemas.openxmlformats.org/officeDocument/2006/relationships" r:id="rId4" tooltip="Go back to General Info to change to Annual Plan"/>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797969" y="1079896"/>
          <a:ext cx="259557" cy="259557"/>
        </a:xfrm>
        <a:prstGeom prst="rect">
          <a:avLst/>
        </a:prstGeom>
      </xdr:spPr>
    </xdr:pic>
    <xdr:clientData fPrintsWithSheet="0"/>
  </xdr:twoCellAnchor>
  <xdr:twoCellAnchor editAs="oneCell">
    <xdr:from>
      <xdr:col>1</xdr:col>
      <xdr:colOff>3048230</xdr:colOff>
      <xdr:row>61</xdr:row>
      <xdr:rowOff>23813</xdr:rowOff>
    </xdr:from>
    <xdr:to>
      <xdr:col>3</xdr:col>
      <xdr:colOff>21185</xdr:colOff>
      <xdr:row>62</xdr:row>
      <xdr:rowOff>16193</xdr:rowOff>
    </xdr:to>
    <xdr:pic>
      <xdr:nvPicPr>
        <xdr:cNvPr id="7" name="Picture 6">
          <a:hlinkClick xmlns:r="http://schemas.openxmlformats.org/officeDocument/2006/relationships" r:id="rId6" tooltip="Go back to General Info to change how you sell your catch"/>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048230" y="8805863"/>
          <a:ext cx="182880" cy="182880"/>
        </a:xfrm>
        <a:prstGeom prst="rect">
          <a:avLst/>
        </a:prstGeom>
      </xdr:spPr>
    </xdr:pic>
    <xdr:clientData fPrintsWithSheet="0"/>
  </xdr:twoCellAnchor>
  <xdr:twoCellAnchor>
    <xdr:from>
      <xdr:col>9</xdr:col>
      <xdr:colOff>28575</xdr:colOff>
      <xdr:row>2</xdr:row>
      <xdr:rowOff>52387</xdr:rowOff>
    </xdr:from>
    <xdr:to>
      <xdr:col>15</xdr:col>
      <xdr:colOff>683419</xdr:colOff>
      <xdr:row>5</xdr:row>
      <xdr:rowOff>109537</xdr:rowOff>
    </xdr:to>
    <xdr:sp macro="" textlink="">
      <xdr:nvSpPr>
        <xdr:cNvPr id="2" name="Rectangle 1">
          <a:hlinkClick xmlns:r="http://schemas.openxmlformats.org/officeDocument/2006/relationships" r:id="rId7" tooltip="Click to go to the Annual Plan to enter a previous year and print the summarized cash flow plan."/>
        </xdr:cNvPr>
        <xdr:cNvSpPr/>
      </xdr:nvSpPr>
      <xdr:spPr>
        <a:xfrm>
          <a:off x="7858125" y="385762"/>
          <a:ext cx="5169694" cy="571500"/>
        </a:xfrm>
        <a:prstGeom prst="rect">
          <a:avLst/>
        </a:prstGeom>
        <a:solidFill>
          <a:srgbClr val="FEBF24"/>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b="1"/>
            <a:t>Click this button to go to Annual Plan to input</a:t>
          </a:r>
          <a:r>
            <a:rPr lang="en-US" sz="1400" b="1" baseline="0"/>
            <a:t> your previous year and to print the summarized cash flow plan.</a:t>
          </a:r>
          <a:endParaRPr lang="en-US" sz="1400" b="1"/>
        </a:p>
      </xdr:txBody>
    </xdr:sp>
    <xdr:clientData fPrintsWithSheet="0"/>
  </xdr:twoCellAnchor>
  <xdr:twoCellAnchor editAs="oneCell">
    <xdr:from>
      <xdr:col>2</xdr:col>
      <xdr:colOff>15545</xdr:colOff>
      <xdr:row>10</xdr:row>
      <xdr:rowOff>0</xdr:rowOff>
    </xdr:from>
    <xdr:to>
      <xdr:col>3</xdr:col>
      <xdr:colOff>305</xdr:colOff>
      <xdr:row>10</xdr:row>
      <xdr:rowOff>137160</xdr:rowOff>
    </xdr:to>
    <xdr:pic>
      <xdr:nvPicPr>
        <xdr:cNvPr id="9" name="Picture 8">
          <a:hlinkClick xmlns:r="http://schemas.openxmlformats.org/officeDocument/2006/relationships" r:id="rId8"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73070" y="1419225"/>
          <a:ext cx="137160" cy="137160"/>
        </a:xfrm>
        <a:prstGeom prst="rect">
          <a:avLst/>
        </a:prstGeom>
      </xdr:spPr>
    </xdr:pic>
    <xdr:clientData fPrintsWithSheet="0"/>
  </xdr:twoCellAnchor>
  <xdr:twoCellAnchor editAs="oneCell">
    <xdr:from>
      <xdr:col>2</xdr:col>
      <xdr:colOff>15545</xdr:colOff>
      <xdr:row>11</xdr:row>
      <xdr:rowOff>7327</xdr:rowOff>
    </xdr:from>
    <xdr:to>
      <xdr:col>3</xdr:col>
      <xdr:colOff>305</xdr:colOff>
      <xdr:row>11</xdr:row>
      <xdr:rowOff>144487</xdr:rowOff>
    </xdr:to>
    <xdr:pic>
      <xdr:nvPicPr>
        <xdr:cNvPr id="10" name="Picture 9">
          <a:hlinkClick xmlns:r="http://schemas.openxmlformats.org/officeDocument/2006/relationships" r:id="rId10"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73070" y="1588477"/>
          <a:ext cx="137160" cy="137160"/>
        </a:xfrm>
        <a:prstGeom prst="rect">
          <a:avLst/>
        </a:prstGeom>
      </xdr:spPr>
    </xdr:pic>
    <xdr:clientData fPrintsWithSheet="0"/>
  </xdr:twoCellAnchor>
  <xdr:twoCellAnchor editAs="oneCell">
    <xdr:from>
      <xdr:col>2</xdr:col>
      <xdr:colOff>15545</xdr:colOff>
      <xdr:row>12</xdr:row>
      <xdr:rowOff>5861</xdr:rowOff>
    </xdr:from>
    <xdr:to>
      <xdr:col>3</xdr:col>
      <xdr:colOff>305</xdr:colOff>
      <xdr:row>12</xdr:row>
      <xdr:rowOff>143021</xdr:rowOff>
    </xdr:to>
    <xdr:pic>
      <xdr:nvPicPr>
        <xdr:cNvPr id="11" name="Picture 10">
          <a:hlinkClick xmlns:r="http://schemas.openxmlformats.org/officeDocument/2006/relationships" r:id="rId11"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73070" y="1748936"/>
          <a:ext cx="137160" cy="137160"/>
        </a:xfrm>
        <a:prstGeom prst="rect">
          <a:avLst/>
        </a:prstGeom>
      </xdr:spPr>
    </xdr:pic>
    <xdr:clientData fPrintsWithSheet="0"/>
  </xdr:twoCellAnchor>
  <xdr:twoCellAnchor editAs="oneCell">
    <xdr:from>
      <xdr:col>2</xdr:col>
      <xdr:colOff>15545</xdr:colOff>
      <xdr:row>13</xdr:row>
      <xdr:rowOff>0</xdr:rowOff>
    </xdr:from>
    <xdr:to>
      <xdr:col>3</xdr:col>
      <xdr:colOff>305</xdr:colOff>
      <xdr:row>13</xdr:row>
      <xdr:rowOff>137160</xdr:rowOff>
    </xdr:to>
    <xdr:pic>
      <xdr:nvPicPr>
        <xdr:cNvPr id="12" name="Picture 11">
          <a:hlinkClick xmlns:r="http://schemas.openxmlformats.org/officeDocument/2006/relationships" r:id="rId12"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73070" y="1905000"/>
          <a:ext cx="137160" cy="137160"/>
        </a:xfrm>
        <a:prstGeom prst="rect">
          <a:avLst/>
        </a:prstGeom>
      </xdr:spPr>
    </xdr:pic>
    <xdr:clientData fPrintsWithSheet="0"/>
  </xdr:twoCellAnchor>
  <xdr:twoCellAnchor editAs="oneCell">
    <xdr:from>
      <xdr:col>2</xdr:col>
      <xdr:colOff>15545</xdr:colOff>
      <xdr:row>14</xdr:row>
      <xdr:rowOff>0</xdr:rowOff>
    </xdr:from>
    <xdr:to>
      <xdr:col>3</xdr:col>
      <xdr:colOff>305</xdr:colOff>
      <xdr:row>14</xdr:row>
      <xdr:rowOff>137160</xdr:rowOff>
    </xdr:to>
    <xdr:pic>
      <xdr:nvPicPr>
        <xdr:cNvPr id="13" name="Picture 12">
          <a:hlinkClick xmlns:r="http://schemas.openxmlformats.org/officeDocument/2006/relationships" r:id="rId13"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73070" y="2066925"/>
          <a:ext cx="137160" cy="137160"/>
        </a:xfrm>
        <a:prstGeom prst="rect">
          <a:avLst/>
        </a:prstGeom>
      </xdr:spPr>
    </xdr:pic>
    <xdr:clientData fPrintsWithSheet="0"/>
  </xdr:twoCellAnchor>
  <xdr:twoCellAnchor editAs="oneCell">
    <xdr:from>
      <xdr:col>2</xdr:col>
      <xdr:colOff>15545</xdr:colOff>
      <xdr:row>15</xdr:row>
      <xdr:rowOff>0</xdr:rowOff>
    </xdr:from>
    <xdr:to>
      <xdr:col>3</xdr:col>
      <xdr:colOff>305</xdr:colOff>
      <xdr:row>15</xdr:row>
      <xdr:rowOff>137160</xdr:rowOff>
    </xdr:to>
    <xdr:pic>
      <xdr:nvPicPr>
        <xdr:cNvPr id="14" name="Picture 13">
          <a:hlinkClick xmlns:r="http://schemas.openxmlformats.org/officeDocument/2006/relationships" r:id="rId14"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73070" y="2228850"/>
          <a:ext cx="137160" cy="137160"/>
        </a:xfrm>
        <a:prstGeom prst="rect">
          <a:avLst/>
        </a:prstGeom>
      </xdr:spPr>
    </xdr:pic>
    <xdr:clientData fPrintsWithSheet="0"/>
  </xdr:twoCellAnchor>
  <xdr:twoCellAnchor editAs="oneCell">
    <xdr:from>
      <xdr:col>2</xdr:col>
      <xdr:colOff>0</xdr:colOff>
      <xdr:row>19</xdr:row>
      <xdr:rowOff>469</xdr:rowOff>
    </xdr:from>
    <xdr:to>
      <xdr:col>2</xdr:col>
      <xdr:colOff>136221</xdr:colOff>
      <xdr:row>19</xdr:row>
      <xdr:rowOff>136690</xdr:rowOff>
    </xdr:to>
    <xdr:pic>
      <xdr:nvPicPr>
        <xdr:cNvPr id="15" name="Picture 14">
          <a:hlinkClick xmlns:r="http://schemas.openxmlformats.org/officeDocument/2006/relationships" r:id="rId15"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2743669"/>
          <a:ext cx="136221" cy="136221"/>
        </a:xfrm>
        <a:prstGeom prst="rect">
          <a:avLst/>
        </a:prstGeom>
      </xdr:spPr>
    </xdr:pic>
    <xdr:clientData fPrintsWithSheet="0"/>
  </xdr:twoCellAnchor>
  <xdr:twoCellAnchor editAs="oneCell">
    <xdr:from>
      <xdr:col>2</xdr:col>
      <xdr:colOff>0</xdr:colOff>
      <xdr:row>20</xdr:row>
      <xdr:rowOff>469</xdr:rowOff>
    </xdr:from>
    <xdr:to>
      <xdr:col>2</xdr:col>
      <xdr:colOff>136221</xdr:colOff>
      <xdr:row>20</xdr:row>
      <xdr:rowOff>136690</xdr:rowOff>
    </xdr:to>
    <xdr:pic>
      <xdr:nvPicPr>
        <xdr:cNvPr id="16" name="Picture 15">
          <a:hlinkClick xmlns:r="http://schemas.openxmlformats.org/officeDocument/2006/relationships" r:id="rId16"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2905594"/>
          <a:ext cx="136221" cy="136221"/>
        </a:xfrm>
        <a:prstGeom prst="rect">
          <a:avLst/>
        </a:prstGeom>
      </xdr:spPr>
    </xdr:pic>
    <xdr:clientData fPrintsWithSheet="0"/>
  </xdr:twoCellAnchor>
  <xdr:twoCellAnchor editAs="oneCell">
    <xdr:from>
      <xdr:col>2</xdr:col>
      <xdr:colOff>210</xdr:colOff>
      <xdr:row>21</xdr:row>
      <xdr:rowOff>1360</xdr:rowOff>
    </xdr:from>
    <xdr:to>
      <xdr:col>2</xdr:col>
      <xdr:colOff>136010</xdr:colOff>
      <xdr:row>21</xdr:row>
      <xdr:rowOff>137160</xdr:rowOff>
    </xdr:to>
    <xdr:pic>
      <xdr:nvPicPr>
        <xdr:cNvPr id="17" name="Picture 16">
          <a:hlinkClick xmlns:r="http://schemas.openxmlformats.org/officeDocument/2006/relationships" r:id="rId17"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735" y="3068410"/>
          <a:ext cx="135800" cy="135800"/>
        </a:xfrm>
        <a:prstGeom prst="rect">
          <a:avLst/>
        </a:prstGeom>
      </xdr:spPr>
    </xdr:pic>
    <xdr:clientData fPrintsWithSheet="0"/>
  </xdr:twoCellAnchor>
  <xdr:twoCellAnchor editAs="oneCell">
    <xdr:from>
      <xdr:col>2</xdr:col>
      <xdr:colOff>0</xdr:colOff>
      <xdr:row>22</xdr:row>
      <xdr:rowOff>469</xdr:rowOff>
    </xdr:from>
    <xdr:to>
      <xdr:col>2</xdr:col>
      <xdr:colOff>136221</xdr:colOff>
      <xdr:row>22</xdr:row>
      <xdr:rowOff>136690</xdr:rowOff>
    </xdr:to>
    <xdr:pic>
      <xdr:nvPicPr>
        <xdr:cNvPr id="18" name="Picture 17">
          <a:hlinkClick xmlns:r="http://schemas.openxmlformats.org/officeDocument/2006/relationships" r:id="rId18"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3229444"/>
          <a:ext cx="136221" cy="136221"/>
        </a:xfrm>
        <a:prstGeom prst="rect">
          <a:avLst/>
        </a:prstGeom>
      </xdr:spPr>
    </xdr:pic>
    <xdr:clientData fPrintsWithSheet="0"/>
  </xdr:twoCellAnchor>
  <xdr:twoCellAnchor editAs="oneCell">
    <xdr:from>
      <xdr:col>2</xdr:col>
      <xdr:colOff>0</xdr:colOff>
      <xdr:row>23</xdr:row>
      <xdr:rowOff>469</xdr:rowOff>
    </xdr:from>
    <xdr:to>
      <xdr:col>2</xdr:col>
      <xdr:colOff>136221</xdr:colOff>
      <xdr:row>23</xdr:row>
      <xdr:rowOff>136690</xdr:rowOff>
    </xdr:to>
    <xdr:pic>
      <xdr:nvPicPr>
        <xdr:cNvPr id="19" name="Picture 18">
          <a:hlinkClick xmlns:r="http://schemas.openxmlformats.org/officeDocument/2006/relationships" r:id="rId19"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3391369"/>
          <a:ext cx="136221" cy="136221"/>
        </a:xfrm>
        <a:prstGeom prst="rect">
          <a:avLst/>
        </a:prstGeom>
      </xdr:spPr>
    </xdr:pic>
    <xdr:clientData fPrintsWithSheet="0"/>
  </xdr:twoCellAnchor>
  <xdr:twoCellAnchor editAs="oneCell">
    <xdr:from>
      <xdr:col>2</xdr:col>
      <xdr:colOff>0</xdr:colOff>
      <xdr:row>24</xdr:row>
      <xdr:rowOff>469</xdr:rowOff>
    </xdr:from>
    <xdr:to>
      <xdr:col>2</xdr:col>
      <xdr:colOff>136221</xdr:colOff>
      <xdr:row>24</xdr:row>
      <xdr:rowOff>136690</xdr:rowOff>
    </xdr:to>
    <xdr:pic>
      <xdr:nvPicPr>
        <xdr:cNvPr id="20" name="Picture 19">
          <a:hlinkClick xmlns:r="http://schemas.openxmlformats.org/officeDocument/2006/relationships" r:id="rId20"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3553294"/>
          <a:ext cx="136221" cy="136221"/>
        </a:xfrm>
        <a:prstGeom prst="rect">
          <a:avLst/>
        </a:prstGeom>
      </xdr:spPr>
    </xdr:pic>
    <xdr:clientData fPrintsWithSheet="0"/>
  </xdr:twoCellAnchor>
  <xdr:twoCellAnchor editAs="oneCell">
    <xdr:from>
      <xdr:col>2</xdr:col>
      <xdr:colOff>0</xdr:colOff>
      <xdr:row>25</xdr:row>
      <xdr:rowOff>469</xdr:rowOff>
    </xdr:from>
    <xdr:to>
      <xdr:col>2</xdr:col>
      <xdr:colOff>136221</xdr:colOff>
      <xdr:row>25</xdr:row>
      <xdr:rowOff>136690</xdr:rowOff>
    </xdr:to>
    <xdr:pic>
      <xdr:nvPicPr>
        <xdr:cNvPr id="21" name="Picture 20">
          <a:hlinkClick xmlns:r="http://schemas.openxmlformats.org/officeDocument/2006/relationships" r:id="rId21"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3715219"/>
          <a:ext cx="136221" cy="136221"/>
        </a:xfrm>
        <a:prstGeom prst="rect">
          <a:avLst/>
        </a:prstGeom>
      </xdr:spPr>
    </xdr:pic>
    <xdr:clientData fPrintsWithSheet="0"/>
  </xdr:twoCellAnchor>
  <xdr:twoCellAnchor editAs="oneCell">
    <xdr:from>
      <xdr:col>2</xdr:col>
      <xdr:colOff>0</xdr:colOff>
      <xdr:row>27</xdr:row>
      <xdr:rowOff>469</xdr:rowOff>
    </xdr:from>
    <xdr:to>
      <xdr:col>2</xdr:col>
      <xdr:colOff>136221</xdr:colOff>
      <xdr:row>27</xdr:row>
      <xdr:rowOff>136690</xdr:rowOff>
    </xdr:to>
    <xdr:pic>
      <xdr:nvPicPr>
        <xdr:cNvPr id="23" name="Picture 22">
          <a:hlinkClick xmlns:r="http://schemas.openxmlformats.org/officeDocument/2006/relationships" r:id="rId22"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4039069"/>
          <a:ext cx="136221" cy="136221"/>
        </a:xfrm>
        <a:prstGeom prst="rect">
          <a:avLst/>
        </a:prstGeom>
      </xdr:spPr>
    </xdr:pic>
    <xdr:clientData fPrintsWithSheet="0"/>
  </xdr:twoCellAnchor>
  <xdr:twoCellAnchor editAs="oneCell">
    <xdr:from>
      <xdr:col>2</xdr:col>
      <xdr:colOff>210</xdr:colOff>
      <xdr:row>28</xdr:row>
      <xdr:rowOff>1360</xdr:rowOff>
    </xdr:from>
    <xdr:to>
      <xdr:col>2</xdr:col>
      <xdr:colOff>136010</xdr:colOff>
      <xdr:row>28</xdr:row>
      <xdr:rowOff>137160</xdr:rowOff>
    </xdr:to>
    <xdr:pic>
      <xdr:nvPicPr>
        <xdr:cNvPr id="24" name="Picture 23">
          <a:hlinkClick xmlns:r="http://schemas.openxmlformats.org/officeDocument/2006/relationships" r:id="rId23"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735" y="4201885"/>
          <a:ext cx="135800" cy="135800"/>
        </a:xfrm>
        <a:prstGeom prst="rect">
          <a:avLst/>
        </a:prstGeom>
      </xdr:spPr>
    </xdr:pic>
    <xdr:clientData fPrintsWithSheet="0"/>
  </xdr:twoCellAnchor>
  <xdr:twoCellAnchor editAs="oneCell">
    <xdr:from>
      <xdr:col>2</xdr:col>
      <xdr:colOff>0</xdr:colOff>
      <xdr:row>26</xdr:row>
      <xdr:rowOff>469</xdr:rowOff>
    </xdr:from>
    <xdr:to>
      <xdr:col>2</xdr:col>
      <xdr:colOff>136221</xdr:colOff>
      <xdr:row>26</xdr:row>
      <xdr:rowOff>136690</xdr:rowOff>
    </xdr:to>
    <xdr:pic>
      <xdr:nvPicPr>
        <xdr:cNvPr id="25" name="Picture 24">
          <a:hlinkClick xmlns:r="http://schemas.openxmlformats.org/officeDocument/2006/relationships" r:id="rId24"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3877144"/>
          <a:ext cx="136221" cy="136221"/>
        </a:xfrm>
        <a:prstGeom prst="rect">
          <a:avLst/>
        </a:prstGeom>
      </xdr:spPr>
    </xdr:pic>
    <xdr:clientData fPrintsWithSheet="0"/>
  </xdr:twoCellAnchor>
  <xdr:twoCellAnchor editAs="oneCell">
    <xdr:from>
      <xdr:col>2</xdr:col>
      <xdr:colOff>0</xdr:colOff>
      <xdr:row>32</xdr:row>
      <xdr:rowOff>469</xdr:rowOff>
    </xdr:from>
    <xdr:to>
      <xdr:col>2</xdr:col>
      <xdr:colOff>136221</xdr:colOff>
      <xdr:row>32</xdr:row>
      <xdr:rowOff>136690</xdr:rowOff>
    </xdr:to>
    <xdr:pic>
      <xdr:nvPicPr>
        <xdr:cNvPr id="26" name="Picture 25">
          <a:hlinkClick xmlns:r="http://schemas.openxmlformats.org/officeDocument/2006/relationships" r:id="rId25"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4743919"/>
          <a:ext cx="136221" cy="136221"/>
        </a:xfrm>
        <a:prstGeom prst="rect">
          <a:avLst/>
        </a:prstGeom>
      </xdr:spPr>
    </xdr:pic>
    <xdr:clientData fPrintsWithSheet="0"/>
  </xdr:twoCellAnchor>
  <xdr:twoCellAnchor editAs="oneCell">
    <xdr:from>
      <xdr:col>2</xdr:col>
      <xdr:colOff>0</xdr:colOff>
      <xdr:row>33</xdr:row>
      <xdr:rowOff>469</xdr:rowOff>
    </xdr:from>
    <xdr:to>
      <xdr:col>2</xdr:col>
      <xdr:colOff>136221</xdr:colOff>
      <xdr:row>33</xdr:row>
      <xdr:rowOff>136690</xdr:rowOff>
    </xdr:to>
    <xdr:pic>
      <xdr:nvPicPr>
        <xdr:cNvPr id="27" name="Picture 26">
          <a:hlinkClick xmlns:r="http://schemas.openxmlformats.org/officeDocument/2006/relationships" r:id="rId26"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4905844"/>
          <a:ext cx="136221" cy="136221"/>
        </a:xfrm>
        <a:prstGeom prst="rect">
          <a:avLst/>
        </a:prstGeom>
      </xdr:spPr>
    </xdr:pic>
    <xdr:clientData fPrintsWithSheet="0"/>
  </xdr:twoCellAnchor>
  <xdr:twoCellAnchor editAs="oneCell">
    <xdr:from>
      <xdr:col>2</xdr:col>
      <xdr:colOff>0</xdr:colOff>
      <xdr:row>34</xdr:row>
      <xdr:rowOff>469</xdr:rowOff>
    </xdr:from>
    <xdr:to>
      <xdr:col>2</xdr:col>
      <xdr:colOff>136221</xdr:colOff>
      <xdr:row>34</xdr:row>
      <xdr:rowOff>136690</xdr:rowOff>
    </xdr:to>
    <xdr:pic>
      <xdr:nvPicPr>
        <xdr:cNvPr id="28" name="Picture 27">
          <a:hlinkClick xmlns:r="http://schemas.openxmlformats.org/officeDocument/2006/relationships" r:id="rId27"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5067769"/>
          <a:ext cx="136221" cy="136221"/>
        </a:xfrm>
        <a:prstGeom prst="rect">
          <a:avLst/>
        </a:prstGeom>
      </xdr:spPr>
    </xdr:pic>
    <xdr:clientData fPrintsWithSheet="0"/>
  </xdr:twoCellAnchor>
  <xdr:twoCellAnchor editAs="oneCell">
    <xdr:from>
      <xdr:col>2</xdr:col>
      <xdr:colOff>0</xdr:colOff>
      <xdr:row>35</xdr:row>
      <xdr:rowOff>469</xdr:rowOff>
    </xdr:from>
    <xdr:to>
      <xdr:col>2</xdr:col>
      <xdr:colOff>136221</xdr:colOff>
      <xdr:row>35</xdr:row>
      <xdr:rowOff>136690</xdr:rowOff>
    </xdr:to>
    <xdr:pic>
      <xdr:nvPicPr>
        <xdr:cNvPr id="29" name="Picture 28">
          <a:hlinkClick xmlns:r="http://schemas.openxmlformats.org/officeDocument/2006/relationships" r:id="rId28"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5229694"/>
          <a:ext cx="136221" cy="136221"/>
        </a:xfrm>
        <a:prstGeom prst="rect">
          <a:avLst/>
        </a:prstGeom>
      </xdr:spPr>
    </xdr:pic>
    <xdr:clientData fPrintsWithSheet="0"/>
  </xdr:twoCellAnchor>
  <xdr:twoCellAnchor editAs="oneCell">
    <xdr:from>
      <xdr:col>2</xdr:col>
      <xdr:colOff>0</xdr:colOff>
      <xdr:row>36</xdr:row>
      <xdr:rowOff>469</xdr:rowOff>
    </xdr:from>
    <xdr:to>
      <xdr:col>2</xdr:col>
      <xdr:colOff>136221</xdr:colOff>
      <xdr:row>36</xdr:row>
      <xdr:rowOff>136690</xdr:rowOff>
    </xdr:to>
    <xdr:pic>
      <xdr:nvPicPr>
        <xdr:cNvPr id="30" name="Picture 29">
          <a:hlinkClick xmlns:r="http://schemas.openxmlformats.org/officeDocument/2006/relationships" r:id="rId29"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5391619"/>
          <a:ext cx="136221" cy="136221"/>
        </a:xfrm>
        <a:prstGeom prst="rect">
          <a:avLst/>
        </a:prstGeom>
      </xdr:spPr>
    </xdr:pic>
    <xdr:clientData fPrintsWithSheet="0"/>
  </xdr:twoCellAnchor>
  <xdr:twoCellAnchor editAs="oneCell">
    <xdr:from>
      <xdr:col>2</xdr:col>
      <xdr:colOff>0</xdr:colOff>
      <xdr:row>37</xdr:row>
      <xdr:rowOff>469</xdr:rowOff>
    </xdr:from>
    <xdr:to>
      <xdr:col>2</xdr:col>
      <xdr:colOff>136221</xdr:colOff>
      <xdr:row>37</xdr:row>
      <xdr:rowOff>136690</xdr:rowOff>
    </xdr:to>
    <xdr:pic>
      <xdr:nvPicPr>
        <xdr:cNvPr id="31" name="Picture 30">
          <a:hlinkClick xmlns:r="http://schemas.openxmlformats.org/officeDocument/2006/relationships" r:id="rId30"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5553544"/>
          <a:ext cx="136221" cy="136221"/>
        </a:xfrm>
        <a:prstGeom prst="rect">
          <a:avLst/>
        </a:prstGeom>
      </xdr:spPr>
    </xdr:pic>
    <xdr:clientData fPrintsWithSheet="0"/>
  </xdr:twoCellAnchor>
  <xdr:twoCellAnchor editAs="oneCell">
    <xdr:from>
      <xdr:col>2</xdr:col>
      <xdr:colOff>210</xdr:colOff>
      <xdr:row>38</xdr:row>
      <xdr:rowOff>1360</xdr:rowOff>
    </xdr:from>
    <xdr:to>
      <xdr:col>2</xdr:col>
      <xdr:colOff>136010</xdr:colOff>
      <xdr:row>38</xdr:row>
      <xdr:rowOff>137160</xdr:rowOff>
    </xdr:to>
    <xdr:pic>
      <xdr:nvPicPr>
        <xdr:cNvPr id="32" name="Picture 31">
          <a:hlinkClick xmlns:r="http://schemas.openxmlformats.org/officeDocument/2006/relationships" r:id="rId31"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735" y="5716360"/>
          <a:ext cx="135800" cy="135800"/>
        </a:xfrm>
        <a:prstGeom prst="rect">
          <a:avLst/>
        </a:prstGeom>
      </xdr:spPr>
    </xdr:pic>
    <xdr:clientData fPrintsWithSheet="0"/>
  </xdr:twoCellAnchor>
  <xdr:twoCellAnchor editAs="oneCell">
    <xdr:from>
      <xdr:col>2</xdr:col>
      <xdr:colOff>0</xdr:colOff>
      <xdr:row>39</xdr:row>
      <xdr:rowOff>469</xdr:rowOff>
    </xdr:from>
    <xdr:to>
      <xdr:col>2</xdr:col>
      <xdr:colOff>136221</xdr:colOff>
      <xdr:row>39</xdr:row>
      <xdr:rowOff>136690</xdr:rowOff>
    </xdr:to>
    <xdr:pic>
      <xdr:nvPicPr>
        <xdr:cNvPr id="33" name="Picture 32">
          <a:hlinkClick xmlns:r="http://schemas.openxmlformats.org/officeDocument/2006/relationships" r:id="rId32"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5877394"/>
          <a:ext cx="136221" cy="136221"/>
        </a:xfrm>
        <a:prstGeom prst="rect">
          <a:avLst/>
        </a:prstGeom>
      </xdr:spPr>
    </xdr:pic>
    <xdr:clientData fPrintsWithSheet="0"/>
  </xdr:twoCellAnchor>
  <xdr:twoCellAnchor editAs="oneCell">
    <xdr:from>
      <xdr:col>2</xdr:col>
      <xdr:colOff>0</xdr:colOff>
      <xdr:row>40</xdr:row>
      <xdr:rowOff>469</xdr:rowOff>
    </xdr:from>
    <xdr:to>
      <xdr:col>2</xdr:col>
      <xdr:colOff>136221</xdr:colOff>
      <xdr:row>40</xdr:row>
      <xdr:rowOff>136690</xdr:rowOff>
    </xdr:to>
    <xdr:pic>
      <xdr:nvPicPr>
        <xdr:cNvPr id="34" name="Picture 33">
          <a:hlinkClick xmlns:r="http://schemas.openxmlformats.org/officeDocument/2006/relationships" r:id="rId33"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6039319"/>
          <a:ext cx="136221" cy="136221"/>
        </a:xfrm>
        <a:prstGeom prst="rect">
          <a:avLst/>
        </a:prstGeom>
      </xdr:spPr>
    </xdr:pic>
    <xdr:clientData fPrintsWithSheet="0"/>
  </xdr:twoCellAnchor>
  <xdr:twoCellAnchor editAs="oneCell">
    <xdr:from>
      <xdr:col>2</xdr:col>
      <xdr:colOff>0</xdr:colOff>
      <xdr:row>41</xdr:row>
      <xdr:rowOff>469</xdr:rowOff>
    </xdr:from>
    <xdr:to>
      <xdr:col>2</xdr:col>
      <xdr:colOff>136221</xdr:colOff>
      <xdr:row>41</xdr:row>
      <xdr:rowOff>136690</xdr:rowOff>
    </xdr:to>
    <xdr:pic>
      <xdr:nvPicPr>
        <xdr:cNvPr id="35" name="Picture 34">
          <a:hlinkClick xmlns:r="http://schemas.openxmlformats.org/officeDocument/2006/relationships" r:id="rId34"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6201244"/>
          <a:ext cx="136221" cy="136221"/>
        </a:xfrm>
        <a:prstGeom prst="rect">
          <a:avLst/>
        </a:prstGeom>
      </xdr:spPr>
    </xdr:pic>
    <xdr:clientData fPrintsWithSheet="0"/>
  </xdr:twoCellAnchor>
  <xdr:twoCellAnchor editAs="oneCell">
    <xdr:from>
      <xdr:col>2</xdr:col>
      <xdr:colOff>0</xdr:colOff>
      <xdr:row>48</xdr:row>
      <xdr:rowOff>469</xdr:rowOff>
    </xdr:from>
    <xdr:to>
      <xdr:col>2</xdr:col>
      <xdr:colOff>136221</xdr:colOff>
      <xdr:row>48</xdr:row>
      <xdr:rowOff>136690</xdr:rowOff>
    </xdr:to>
    <xdr:pic>
      <xdr:nvPicPr>
        <xdr:cNvPr id="36" name="Picture 35">
          <a:hlinkClick xmlns:r="http://schemas.openxmlformats.org/officeDocument/2006/relationships" r:id="rId35"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7134694"/>
          <a:ext cx="136221" cy="136221"/>
        </a:xfrm>
        <a:prstGeom prst="rect">
          <a:avLst/>
        </a:prstGeom>
      </xdr:spPr>
    </xdr:pic>
    <xdr:clientData fPrintsWithSheet="0"/>
  </xdr:twoCellAnchor>
  <xdr:twoCellAnchor editAs="oneCell">
    <xdr:from>
      <xdr:col>2</xdr:col>
      <xdr:colOff>0</xdr:colOff>
      <xdr:row>51</xdr:row>
      <xdr:rowOff>469</xdr:rowOff>
    </xdr:from>
    <xdr:to>
      <xdr:col>2</xdr:col>
      <xdr:colOff>136221</xdr:colOff>
      <xdr:row>51</xdr:row>
      <xdr:rowOff>136690</xdr:rowOff>
    </xdr:to>
    <xdr:pic>
      <xdr:nvPicPr>
        <xdr:cNvPr id="37" name="Picture 36">
          <a:hlinkClick xmlns:r="http://schemas.openxmlformats.org/officeDocument/2006/relationships" r:id="rId36"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7620469"/>
          <a:ext cx="136221" cy="136221"/>
        </a:xfrm>
        <a:prstGeom prst="rect">
          <a:avLst/>
        </a:prstGeom>
      </xdr:spPr>
    </xdr:pic>
    <xdr:clientData fPrintsWithSheet="0"/>
  </xdr:twoCellAnchor>
  <xdr:twoCellAnchor editAs="oneCell">
    <xdr:from>
      <xdr:col>2</xdr:col>
      <xdr:colOff>0</xdr:colOff>
      <xdr:row>53</xdr:row>
      <xdr:rowOff>469</xdr:rowOff>
    </xdr:from>
    <xdr:to>
      <xdr:col>2</xdr:col>
      <xdr:colOff>136221</xdr:colOff>
      <xdr:row>53</xdr:row>
      <xdr:rowOff>136690</xdr:rowOff>
    </xdr:to>
    <xdr:pic>
      <xdr:nvPicPr>
        <xdr:cNvPr id="38" name="Picture 37">
          <a:hlinkClick xmlns:r="http://schemas.openxmlformats.org/officeDocument/2006/relationships" r:id="rId37"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7782394"/>
          <a:ext cx="136221" cy="136221"/>
        </a:xfrm>
        <a:prstGeom prst="rect">
          <a:avLst/>
        </a:prstGeom>
      </xdr:spPr>
    </xdr:pic>
    <xdr:clientData fPrintsWithSheet="0"/>
  </xdr:twoCellAnchor>
  <xdr:twoCellAnchor editAs="oneCell">
    <xdr:from>
      <xdr:col>2</xdr:col>
      <xdr:colOff>0</xdr:colOff>
      <xdr:row>63</xdr:row>
      <xdr:rowOff>469</xdr:rowOff>
    </xdr:from>
    <xdr:to>
      <xdr:col>2</xdr:col>
      <xdr:colOff>136221</xdr:colOff>
      <xdr:row>63</xdr:row>
      <xdr:rowOff>136690</xdr:rowOff>
    </xdr:to>
    <xdr:pic>
      <xdr:nvPicPr>
        <xdr:cNvPr id="39" name="Picture 38">
          <a:hlinkClick xmlns:r="http://schemas.openxmlformats.org/officeDocument/2006/relationships" r:id="rId38"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9134944"/>
          <a:ext cx="136221" cy="136221"/>
        </a:xfrm>
        <a:prstGeom prst="rect">
          <a:avLst/>
        </a:prstGeom>
      </xdr:spPr>
    </xdr:pic>
    <xdr:clientData fPrintsWithSheet="0"/>
  </xdr:twoCellAnchor>
  <xdr:twoCellAnchor editAs="oneCell">
    <xdr:from>
      <xdr:col>2</xdr:col>
      <xdr:colOff>0</xdr:colOff>
      <xdr:row>64</xdr:row>
      <xdr:rowOff>469</xdr:rowOff>
    </xdr:from>
    <xdr:to>
      <xdr:col>2</xdr:col>
      <xdr:colOff>136221</xdr:colOff>
      <xdr:row>64</xdr:row>
      <xdr:rowOff>136690</xdr:rowOff>
    </xdr:to>
    <xdr:pic>
      <xdr:nvPicPr>
        <xdr:cNvPr id="40" name="Picture 39">
          <a:hlinkClick xmlns:r="http://schemas.openxmlformats.org/officeDocument/2006/relationships" r:id="rId39"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9296869"/>
          <a:ext cx="136221" cy="136221"/>
        </a:xfrm>
        <a:prstGeom prst="rect">
          <a:avLst/>
        </a:prstGeom>
      </xdr:spPr>
    </xdr:pic>
    <xdr:clientData fPrintsWithSheet="0"/>
  </xdr:twoCellAnchor>
  <xdr:twoCellAnchor editAs="oneCell">
    <xdr:from>
      <xdr:col>2</xdr:col>
      <xdr:colOff>210</xdr:colOff>
      <xdr:row>65</xdr:row>
      <xdr:rowOff>1360</xdr:rowOff>
    </xdr:from>
    <xdr:to>
      <xdr:col>2</xdr:col>
      <xdr:colOff>136010</xdr:colOff>
      <xdr:row>65</xdr:row>
      <xdr:rowOff>137160</xdr:rowOff>
    </xdr:to>
    <xdr:pic>
      <xdr:nvPicPr>
        <xdr:cNvPr id="41" name="Picture 40">
          <a:hlinkClick xmlns:r="http://schemas.openxmlformats.org/officeDocument/2006/relationships" r:id="rId40"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735" y="9459685"/>
          <a:ext cx="135800" cy="135800"/>
        </a:xfrm>
        <a:prstGeom prst="rect">
          <a:avLst/>
        </a:prstGeom>
      </xdr:spPr>
    </xdr:pic>
    <xdr:clientData fPrintsWithSheet="0"/>
  </xdr:twoCellAnchor>
  <xdr:twoCellAnchor editAs="oneCell">
    <xdr:from>
      <xdr:col>2</xdr:col>
      <xdr:colOff>0</xdr:colOff>
      <xdr:row>66</xdr:row>
      <xdr:rowOff>469</xdr:rowOff>
    </xdr:from>
    <xdr:to>
      <xdr:col>2</xdr:col>
      <xdr:colOff>136221</xdr:colOff>
      <xdr:row>66</xdr:row>
      <xdr:rowOff>136690</xdr:rowOff>
    </xdr:to>
    <xdr:pic>
      <xdr:nvPicPr>
        <xdr:cNvPr id="42" name="Picture 41">
          <a:hlinkClick xmlns:r="http://schemas.openxmlformats.org/officeDocument/2006/relationships" r:id="rId41"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9620719"/>
          <a:ext cx="136221" cy="136221"/>
        </a:xfrm>
        <a:prstGeom prst="rect">
          <a:avLst/>
        </a:prstGeom>
      </xdr:spPr>
    </xdr:pic>
    <xdr:clientData fPrintsWithSheet="0"/>
  </xdr:twoCellAnchor>
  <xdr:twoCellAnchor editAs="oneCell">
    <xdr:from>
      <xdr:col>2</xdr:col>
      <xdr:colOff>0</xdr:colOff>
      <xdr:row>70</xdr:row>
      <xdr:rowOff>469</xdr:rowOff>
    </xdr:from>
    <xdr:to>
      <xdr:col>2</xdr:col>
      <xdr:colOff>136221</xdr:colOff>
      <xdr:row>70</xdr:row>
      <xdr:rowOff>136690</xdr:rowOff>
    </xdr:to>
    <xdr:pic>
      <xdr:nvPicPr>
        <xdr:cNvPr id="43" name="Picture 42">
          <a:hlinkClick xmlns:r="http://schemas.openxmlformats.org/officeDocument/2006/relationships" r:id="rId42"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0192219"/>
          <a:ext cx="136221" cy="136221"/>
        </a:xfrm>
        <a:prstGeom prst="rect">
          <a:avLst/>
        </a:prstGeom>
      </xdr:spPr>
    </xdr:pic>
    <xdr:clientData fPrintsWithSheet="0"/>
  </xdr:twoCellAnchor>
  <xdr:twoCellAnchor editAs="oneCell">
    <xdr:from>
      <xdr:col>2</xdr:col>
      <xdr:colOff>210</xdr:colOff>
      <xdr:row>71</xdr:row>
      <xdr:rowOff>1360</xdr:rowOff>
    </xdr:from>
    <xdr:to>
      <xdr:col>2</xdr:col>
      <xdr:colOff>136010</xdr:colOff>
      <xdr:row>71</xdr:row>
      <xdr:rowOff>137160</xdr:rowOff>
    </xdr:to>
    <xdr:pic>
      <xdr:nvPicPr>
        <xdr:cNvPr id="44" name="Picture 43">
          <a:hlinkClick xmlns:r="http://schemas.openxmlformats.org/officeDocument/2006/relationships" r:id="rId43"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735" y="10355035"/>
          <a:ext cx="135800" cy="135800"/>
        </a:xfrm>
        <a:prstGeom prst="rect">
          <a:avLst/>
        </a:prstGeom>
      </xdr:spPr>
    </xdr:pic>
    <xdr:clientData fPrintsWithSheet="0"/>
  </xdr:twoCellAnchor>
  <xdr:twoCellAnchor editAs="oneCell">
    <xdr:from>
      <xdr:col>2</xdr:col>
      <xdr:colOff>0</xdr:colOff>
      <xdr:row>72</xdr:row>
      <xdr:rowOff>469</xdr:rowOff>
    </xdr:from>
    <xdr:to>
      <xdr:col>2</xdr:col>
      <xdr:colOff>136221</xdr:colOff>
      <xdr:row>72</xdr:row>
      <xdr:rowOff>136690</xdr:rowOff>
    </xdr:to>
    <xdr:pic>
      <xdr:nvPicPr>
        <xdr:cNvPr id="45" name="Picture 44">
          <a:hlinkClick xmlns:r="http://schemas.openxmlformats.org/officeDocument/2006/relationships" r:id="rId44"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0516069"/>
          <a:ext cx="136221" cy="136221"/>
        </a:xfrm>
        <a:prstGeom prst="rect">
          <a:avLst/>
        </a:prstGeom>
      </xdr:spPr>
    </xdr:pic>
    <xdr:clientData fPrintsWithSheet="0"/>
  </xdr:twoCellAnchor>
  <xdr:twoCellAnchor editAs="oneCell">
    <xdr:from>
      <xdr:col>2</xdr:col>
      <xdr:colOff>0</xdr:colOff>
      <xdr:row>73</xdr:row>
      <xdr:rowOff>469</xdr:rowOff>
    </xdr:from>
    <xdr:to>
      <xdr:col>2</xdr:col>
      <xdr:colOff>136221</xdr:colOff>
      <xdr:row>73</xdr:row>
      <xdr:rowOff>136690</xdr:rowOff>
    </xdr:to>
    <xdr:pic>
      <xdr:nvPicPr>
        <xdr:cNvPr id="46" name="Picture 45">
          <a:hlinkClick xmlns:r="http://schemas.openxmlformats.org/officeDocument/2006/relationships" r:id="rId45"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0677994"/>
          <a:ext cx="136221" cy="136221"/>
        </a:xfrm>
        <a:prstGeom prst="rect">
          <a:avLst/>
        </a:prstGeom>
      </xdr:spPr>
    </xdr:pic>
    <xdr:clientData fPrintsWithSheet="0"/>
  </xdr:twoCellAnchor>
  <xdr:twoCellAnchor editAs="oneCell">
    <xdr:from>
      <xdr:col>2</xdr:col>
      <xdr:colOff>0</xdr:colOff>
      <xdr:row>74</xdr:row>
      <xdr:rowOff>469</xdr:rowOff>
    </xdr:from>
    <xdr:to>
      <xdr:col>2</xdr:col>
      <xdr:colOff>136221</xdr:colOff>
      <xdr:row>74</xdr:row>
      <xdr:rowOff>136690</xdr:rowOff>
    </xdr:to>
    <xdr:pic>
      <xdr:nvPicPr>
        <xdr:cNvPr id="47" name="Picture 46">
          <a:hlinkClick xmlns:r="http://schemas.openxmlformats.org/officeDocument/2006/relationships" r:id="rId46"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0839919"/>
          <a:ext cx="136221" cy="136221"/>
        </a:xfrm>
        <a:prstGeom prst="rect">
          <a:avLst/>
        </a:prstGeom>
      </xdr:spPr>
    </xdr:pic>
    <xdr:clientData fPrintsWithSheet="0"/>
  </xdr:twoCellAnchor>
  <xdr:twoCellAnchor editAs="oneCell">
    <xdr:from>
      <xdr:col>2</xdr:col>
      <xdr:colOff>0</xdr:colOff>
      <xdr:row>75</xdr:row>
      <xdr:rowOff>469</xdr:rowOff>
    </xdr:from>
    <xdr:to>
      <xdr:col>2</xdr:col>
      <xdr:colOff>136221</xdr:colOff>
      <xdr:row>75</xdr:row>
      <xdr:rowOff>136690</xdr:rowOff>
    </xdr:to>
    <xdr:pic>
      <xdr:nvPicPr>
        <xdr:cNvPr id="48" name="Picture 47">
          <a:hlinkClick xmlns:r="http://schemas.openxmlformats.org/officeDocument/2006/relationships" r:id="rId47"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1001844"/>
          <a:ext cx="136221" cy="136221"/>
        </a:xfrm>
        <a:prstGeom prst="rect">
          <a:avLst/>
        </a:prstGeom>
      </xdr:spPr>
    </xdr:pic>
    <xdr:clientData fPrintsWithSheet="0"/>
  </xdr:twoCellAnchor>
  <xdr:twoCellAnchor editAs="oneCell">
    <xdr:from>
      <xdr:col>2</xdr:col>
      <xdr:colOff>0</xdr:colOff>
      <xdr:row>76</xdr:row>
      <xdr:rowOff>469</xdr:rowOff>
    </xdr:from>
    <xdr:to>
      <xdr:col>2</xdr:col>
      <xdr:colOff>136221</xdr:colOff>
      <xdr:row>76</xdr:row>
      <xdr:rowOff>136690</xdr:rowOff>
    </xdr:to>
    <xdr:pic>
      <xdr:nvPicPr>
        <xdr:cNvPr id="49" name="Picture 48">
          <a:hlinkClick xmlns:r="http://schemas.openxmlformats.org/officeDocument/2006/relationships" r:id="rId48"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1163769"/>
          <a:ext cx="136221" cy="136221"/>
        </a:xfrm>
        <a:prstGeom prst="rect">
          <a:avLst/>
        </a:prstGeom>
      </xdr:spPr>
    </xdr:pic>
    <xdr:clientData fPrintsWithSheet="0"/>
  </xdr:twoCellAnchor>
  <xdr:twoCellAnchor editAs="oneCell">
    <xdr:from>
      <xdr:col>2</xdr:col>
      <xdr:colOff>0</xdr:colOff>
      <xdr:row>77</xdr:row>
      <xdr:rowOff>469</xdr:rowOff>
    </xdr:from>
    <xdr:to>
      <xdr:col>2</xdr:col>
      <xdr:colOff>136221</xdr:colOff>
      <xdr:row>77</xdr:row>
      <xdr:rowOff>136690</xdr:rowOff>
    </xdr:to>
    <xdr:pic>
      <xdr:nvPicPr>
        <xdr:cNvPr id="50" name="Picture 49">
          <a:hlinkClick xmlns:r="http://schemas.openxmlformats.org/officeDocument/2006/relationships" r:id="rId49"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1325694"/>
          <a:ext cx="136221" cy="136221"/>
        </a:xfrm>
        <a:prstGeom prst="rect">
          <a:avLst/>
        </a:prstGeom>
      </xdr:spPr>
    </xdr:pic>
    <xdr:clientData fPrintsWithSheet="0"/>
  </xdr:twoCellAnchor>
  <xdr:twoCellAnchor editAs="oneCell">
    <xdr:from>
      <xdr:col>2</xdr:col>
      <xdr:colOff>210</xdr:colOff>
      <xdr:row>78</xdr:row>
      <xdr:rowOff>1360</xdr:rowOff>
    </xdr:from>
    <xdr:to>
      <xdr:col>2</xdr:col>
      <xdr:colOff>136010</xdr:colOff>
      <xdr:row>78</xdr:row>
      <xdr:rowOff>137160</xdr:rowOff>
    </xdr:to>
    <xdr:pic>
      <xdr:nvPicPr>
        <xdr:cNvPr id="51" name="Picture 50">
          <a:hlinkClick xmlns:r="http://schemas.openxmlformats.org/officeDocument/2006/relationships" r:id="rId50"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735" y="11488510"/>
          <a:ext cx="135800" cy="135800"/>
        </a:xfrm>
        <a:prstGeom prst="rect">
          <a:avLst/>
        </a:prstGeom>
      </xdr:spPr>
    </xdr:pic>
    <xdr:clientData fPrintsWithSheet="0"/>
  </xdr:twoCellAnchor>
  <xdr:twoCellAnchor editAs="oneCell">
    <xdr:from>
      <xdr:col>2</xdr:col>
      <xdr:colOff>0</xdr:colOff>
      <xdr:row>79</xdr:row>
      <xdr:rowOff>469</xdr:rowOff>
    </xdr:from>
    <xdr:to>
      <xdr:col>2</xdr:col>
      <xdr:colOff>136221</xdr:colOff>
      <xdr:row>79</xdr:row>
      <xdr:rowOff>136690</xdr:rowOff>
    </xdr:to>
    <xdr:pic>
      <xdr:nvPicPr>
        <xdr:cNvPr id="52" name="Picture 51">
          <a:hlinkClick xmlns:r="http://schemas.openxmlformats.org/officeDocument/2006/relationships" r:id="rId51"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1649544"/>
          <a:ext cx="136221" cy="136221"/>
        </a:xfrm>
        <a:prstGeom prst="rect">
          <a:avLst/>
        </a:prstGeom>
      </xdr:spPr>
    </xdr:pic>
    <xdr:clientData fPrintsWithSheet="0"/>
  </xdr:twoCellAnchor>
  <xdr:twoCellAnchor editAs="oneCell">
    <xdr:from>
      <xdr:col>2</xdr:col>
      <xdr:colOff>0</xdr:colOff>
      <xdr:row>83</xdr:row>
      <xdr:rowOff>469</xdr:rowOff>
    </xdr:from>
    <xdr:to>
      <xdr:col>2</xdr:col>
      <xdr:colOff>136221</xdr:colOff>
      <xdr:row>83</xdr:row>
      <xdr:rowOff>136690</xdr:rowOff>
    </xdr:to>
    <xdr:pic>
      <xdr:nvPicPr>
        <xdr:cNvPr id="53" name="Picture 52">
          <a:hlinkClick xmlns:r="http://schemas.openxmlformats.org/officeDocument/2006/relationships" r:id="rId52"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2221044"/>
          <a:ext cx="136221" cy="136221"/>
        </a:xfrm>
        <a:prstGeom prst="rect">
          <a:avLst/>
        </a:prstGeom>
      </xdr:spPr>
    </xdr:pic>
    <xdr:clientData fPrintsWithSheet="0"/>
  </xdr:twoCellAnchor>
  <xdr:twoCellAnchor editAs="oneCell">
    <xdr:from>
      <xdr:col>2</xdr:col>
      <xdr:colOff>210</xdr:colOff>
      <xdr:row>84</xdr:row>
      <xdr:rowOff>1360</xdr:rowOff>
    </xdr:from>
    <xdr:to>
      <xdr:col>2</xdr:col>
      <xdr:colOff>136010</xdr:colOff>
      <xdr:row>84</xdr:row>
      <xdr:rowOff>137160</xdr:rowOff>
    </xdr:to>
    <xdr:pic>
      <xdr:nvPicPr>
        <xdr:cNvPr id="54" name="Picture 53">
          <a:hlinkClick xmlns:r="http://schemas.openxmlformats.org/officeDocument/2006/relationships" r:id="rId53"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735" y="12383860"/>
          <a:ext cx="135800" cy="135800"/>
        </a:xfrm>
        <a:prstGeom prst="rect">
          <a:avLst/>
        </a:prstGeom>
      </xdr:spPr>
    </xdr:pic>
    <xdr:clientData fPrintsWithSheet="0"/>
  </xdr:twoCellAnchor>
  <xdr:twoCellAnchor editAs="oneCell">
    <xdr:from>
      <xdr:col>2</xdr:col>
      <xdr:colOff>0</xdr:colOff>
      <xdr:row>85</xdr:row>
      <xdr:rowOff>469</xdr:rowOff>
    </xdr:from>
    <xdr:to>
      <xdr:col>2</xdr:col>
      <xdr:colOff>136221</xdr:colOff>
      <xdr:row>85</xdr:row>
      <xdr:rowOff>136690</xdr:rowOff>
    </xdr:to>
    <xdr:pic>
      <xdr:nvPicPr>
        <xdr:cNvPr id="55" name="Picture 54">
          <a:hlinkClick xmlns:r="http://schemas.openxmlformats.org/officeDocument/2006/relationships" r:id="rId54"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2544894"/>
          <a:ext cx="136221" cy="136221"/>
        </a:xfrm>
        <a:prstGeom prst="rect">
          <a:avLst/>
        </a:prstGeom>
      </xdr:spPr>
    </xdr:pic>
    <xdr:clientData fPrintsWithSheet="0"/>
  </xdr:twoCellAnchor>
  <xdr:twoCellAnchor editAs="oneCell">
    <xdr:from>
      <xdr:col>2</xdr:col>
      <xdr:colOff>0</xdr:colOff>
      <xdr:row>86</xdr:row>
      <xdr:rowOff>469</xdr:rowOff>
    </xdr:from>
    <xdr:to>
      <xdr:col>2</xdr:col>
      <xdr:colOff>136221</xdr:colOff>
      <xdr:row>86</xdr:row>
      <xdr:rowOff>136690</xdr:rowOff>
    </xdr:to>
    <xdr:pic>
      <xdr:nvPicPr>
        <xdr:cNvPr id="56" name="Picture 55">
          <a:hlinkClick xmlns:r="http://schemas.openxmlformats.org/officeDocument/2006/relationships" r:id="rId55"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2706819"/>
          <a:ext cx="136221" cy="136221"/>
        </a:xfrm>
        <a:prstGeom prst="rect">
          <a:avLst/>
        </a:prstGeom>
      </xdr:spPr>
    </xdr:pic>
    <xdr:clientData fPrintsWithSheet="0"/>
  </xdr:twoCellAnchor>
  <xdr:twoCellAnchor editAs="oneCell">
    <xdr:from>
      <xdr:col>2</xdr:col>
      <xdr:colOff>0</xdr:colOff>
      <xdr:row>87</xdr:row>
      <xdr:rowOff>469</xdr:rowOff>
    </xdr:from>
    <xdr:to>
      <xdr:col>2</xdr:col>
      <xdr:colOff>136221</xdr:colOff>
      <xdr:row>87</xdr:row>
      <xdr:rowOff>136690</xdr:rowOff>
    </xdr:to>
    <xdr:pic>
      <xdr:nvPicPr>
        <xdr:cNvPr id="57" name="Picture 56">
          <a:hlinkClick xmlns:r="http://schemas.openxmlformats.org/officeDocument/2006/relationships" r:id="rId56"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2868744"/>
          <a:ext cx="136221" cy="136221"/>
        </a:xfrm>
        <a:prstGeom prst="rect">
          <a:avLst/>
        </a:prstGeom>
      </xdr:spPr>
    </xdr:pic>
    <xdr:clientData fPrintsWithSheet="0"/>
  </xdr:twoCellAnchor>
  <xdr:twoCellAnchor editAs="oneCell">
    <xdr:from>
      <xdr:col>2</xdr:col>
      <xdr:colOff>0</xdr:colOff>
      <xdr:row>89</xdr:row>
      <xdr:rowOff>469</xdr:rowOff>
    </xdr:from>
    <xdr:to>
      <xdr:col>2</xdr:col>
      <xdr:colOff>136221</xdr:colOff>
      <xdr:row>89</xdr:row>
      <xdr:rowOff>136690</xdr:rowOff>
    </xdr:to>
    <xdr:pic>
      <xdr:nvPicPr>
        <xdr:cNvPr id="58" name="Picture 57">
          <a:hlinkClick xmlns:r="http://schemas.openxmlformats.org/officeDocument/2006/relationships" r:id="rId57"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3030669"/>
          <a:ext cx="136221" cy="136221"/>
        </a:xfrm>
        <a:prstGeom prst="rect">
          <a:avLst/>
        </a:prstGeom>
      </xdr:spPr>
    </xdr:pic>
    <xdr:clientData fPrintsWithSheet="0"/>
  </xdr:twoCellAnchor>
  <xdr:twoCellAnchor editAs="oneCell">
    <xdr:from>
      <xdr:col>2</xdr:col>
      <xdr:colOff>0</xdr:colOff>
      <xdr:row>90</xdr:row>
      <xdr:rowOff>469</xdr:rowOff>
    </xdr:from>
    <xdr:to>
      <xdr:col>2</xdr:col>
      <xdr:colOff>136221</xdr:colOff>
      <xdr:row>90</xdr:row>
      <xdr:rowOff>136690</xdr:rowOff>
    </xdr:to>
    <xdr:pic>
      <xdr:nvPicPr>
        <xdr:cNvPr id="59" name="Picture 58">
          <a:hlinkClick xmlns:r="http://schemas.openxmlformats.org/officeDocument/2006/relationships" r:id="rId58"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3192594"/>
          <a:ext cx="136221" cy="136221"/>
        </a:xfrm>
        <a:prstGeom prst="rect">
          <a:avLst/>
        </a:prstGeom>
      </xdr:spPr>
    </xdr:pic>
    <xdr:clientData fPrintsWithSheet="0"/>
  </xdr:twoCellAnchor>
  <xdr:twoCellAnchor editAs="oneCell">
    <xdr:from>
      <xdr:col>2</xdr:col>
      <xdr:colOff>0</xdr:colOff>
      <xdr:row>98</xdr:row>
      <xdr:rowOff>469</xdr:rowOff>
    </xdr:from>
    <xdr:to>
      <xdr:col>2</xdr:col>
      <xdr:colOff>136221</xdr:colOff>
      <xdr:row>98</xdr:row>
      <xdr:rowOff>136690</xdr:rowOff>
    </xdr:to>
    <xdr:pic>
      <xdr:nvPicPr>
        <xdr:cNvPr id="60" name="Picture 59">
          <a:hlinkClick xmlns:r="http://schemas.openxmlformats.org/officeDocument/2006/relationships" r:id="rId59"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4221294"/>
          <a:ext cx="136221" cy="136221"/>
        </a:xfrm>
        <a:prstGeom prst="rect">
          <a:avLst/>
        </a:prstGeom>
      </xdr:spPr>
    </xdr:pic>
    <xdr:clientData fPrintsWithSheet="0"/>
  </xdr:twoCellAnchor>
  <xdr:twoCellAnchor editAs="oneCell">
    <xdr:from>
      <xdr:col>2</xdr:col>
      <xdr:colOff>0</xdr:colOff>
      <xdr:row>101</xdr:row>
      <xdr:rowOff>469</xdr:rowOff>
    </xdr:from>
    <xdr:to>
      <xdr:col>2</xdr:col>
      <xdr:colOff>136221</xdr:colOff>
      <xdr:row>101</xdr:row>
      <xdr:rowOff>136690</xdr:rowOff>
    </xdr:to>
    <xdr:pic>
      <xdr:nvPicPr>
        <xdr:cNvPr id="61" name="Picture 60">
          <a:hlinkClick xmlns:r="http://schemas.openxmlformats.org/officeDocument/2006/relationships" r:id="rId60"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4678494"/>
          <a:ext cx="136221" cy="136221"/>
        </a:xfrm>
        <a:prstGeom prst="rect">
          <a:avLst/>
        </a:prstGeom>
      </xdr:spPr>
    </xdr:pic>
    <xdr:clientData fPrintsWithSheet="0"/>
  </xdr:twoCellAnchor>
  <xdr:twoCellAnchor editAs="oneCell">
    <xdr:from>
      <xdr:col>2</xdr:col>
      <xdr:colOff>210</xdr:colOff>
      <xdr:row>112</xdr:row>
      <xdr:rowOff>1360</xdr:rowOff>
    </xdr:from>
    <xdr:to>
      <xdr:col>2</xdr:col>
      <xdr:colOff>136010</xdr:colOff>
      <xdr:row>112</xdr:row>
      <xdr:rowOff>137160</xdr:rowOff>
    </xdr:to>
    <xdr:pic>
      <xdr:nvPicPr>
        <xdr:cNvPr id="62" name="Picture 61">
          <a:hlinkClick xmlns:r="http://schemas.openxmlformats.org/officeDocument/2006/relationships" r:id="rId61"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735" y="15936685"/>
          <a:ext cx="135800" cy="135800"/>
        </a:xfrm>
        <a:prstGeom prst="rect">
          <a:avLst/>
        </a:prstGeom>
      </xdr:spPr>
    </xdr:pic>
    <xdr:clientData fPrintsWithSheet="0"/>
  </xdr:twoCellAnchor>
  <xdr:twoCellAnchor editAs="oneCell">
    <xdr:from>
      <xdr:col>2</xdr:col>
      <xdr:colOff>0</xdr:colOff>
      <xdr:row>113</xdr:row>
      <xdr:rowOff>469</xdr:rowOff>
    </xdr:from>
    <xdr:to>
      <xdr:col>2</xdr:col>
      <xdr:colOff>136221</xdr:colOff>
      <xdr:row>113</xdr:row>
      <xdr:rowOff>136690</xdr:rowOff>
    </xdr:to>
    <xdr:pic>
      <xdr:nvPicPr>
        <xdr:cNvPr id="63" name="Picture 62">
          <a:hlinkClick xmlns:r="http://schemas.openxmlformats.org/officeDocument/2006/relationships" r:id="rId62"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6097719"/>
          <a:ext cx="136221" cy="136221"/>
        </a:xfrm>
        <a:prstGeom prst="rect">
          <a:avLst/>
        </a:prstGeom>
      </xdr:spPr>
    </xdr:pic>
    <xdr:clientData fPrintsWithSheet="0"/>
  </xdr:twoCellAnchor>
  <xdr:twoCellAnchor editAs="oneCell">
    <xdr:from>
      <xdr:col>2</xdr:col>
      <xdr:colOff>0</xdr:colOff>
      <xdr:row>114</xdr:row>
      <xdr:rowOff>469</xdr:rowOff>
    </xdr:from>
    <xdr:to>
      <xdr:col>2</xdr:col>
      <xdr:colOff>136221</xdr:colOff>
      <xdr:row>114</xdr:row>
      <xdr:rowOff>136690</xdr:rowOff>
    </xdr:to>
    <xdr:pic>
      <xdr:nvPicPr>
        <xdr:cNvPr id="64" name="Picture 63">
          <a:hlinkClick xmlns:r="http://schemas.openxmlformats.org/officeDocument/2006/relationships" r:id="rId63"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6259644"/>
          <a:ext cx="136221" cy="136221"/>
        </a:xfrm>
        <a:prstGeom prst="rect">
          <a:avLst/>
        </a:prstGeom>
      </xdr:spPr>
    </xdr:pic>
    <xdr:clientData fPrintsWithSheet="0"/>
  </xdr:twoCellAnchor>
  <xdr:twoCellAnchor editAs="oneCell">
    <xdr:from>
      <xdr:col>2</xdr:col>
      <xdr:colOff>0</xdr:colOff>
      <xdr:row>115</xdr:row>
      <xdr:rowOff>469</xdr:rowOff>
    </xdr:from>
    <xdr:to>
      <xdr:col>2</xdr:col>
      <xdr:colOff>136221</xdr:colOff>
      <xdr:row>115</xdr:row>
      <xdr:rowOff>136690</xdr:rowOff>
    </xdr:to>
    <xdr:pic>
      <xdr:nvPicPr>
        <xdr:cNvPr id="65" name="Picture 64">
          <a:hlinkClick xmlns:r="http://schemas.openxmlformats.org/officeDocument/2006/relationships" r:id="rId64"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6421569"/>
          <a:ext cx="136221" cy="136221"/>
        </a:xfrm>
        <a:prstGeom prst="rect">
          <a:avLst/>
        </a:prstGeom>
      </xdr:spPr>
    </xdr:pic>
    <xdr:clientData fPrintsWithSheet="0"/>
  </xdr:twoCellAnchor>
  <xdr:twoCellAnchor editAs="oneCell">
    <xdr:from>
      <xdr:col>2</xdr:col>
      <xdr:colOff>0</xdr:colOff>
      <xdr:row>119</xdr:row>
      <xdr:rowOff>469</xdr:rowOff>
    </xdr:from>
    <xdr:to>
      <xdr:col>2</xdr:col>
      <xdr:colOff>136221</xdr:colOff>
      <xdr:row>119</xdr:row>
      <xdr:rowOff>136690</xdr:rowOff>
    </xdr:to>
    <xdr:pic>
      <xdr:nvPicPr>
        <xdr:cNvPr id="66" name="Picture 65">
          <a:hlinkClick xmlns:r="http://schemas.openxmlformats.org/officeDocument/2006/relationships" r:id="rId65"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6935919"/>
          <a:ext cx="136221" cy="136221"/>
        </a:xfrm>
        <a:prstGeom prst="rect">
          <a:avLst/>
        </a:prstGeom>
      </xdr:spPr>
    </xdr:pic>
    <xdr:clientData fPrintsWithSheet="0"/>
  </xdr:twoCellAnchor>
  <xdr:twoCellAnchor editAs="oneCell">
    <xdr:from>
      <xdr:col>2</xdr:col>
      <xdr:colOff>0</xdr:colOff>
      <xdr:row>120</xdr:row>
      <xdr:rowOff>469</xdr:rowOff>
    </xdr:from>
    <xdr:to>
      <xdr:col>2</xdr:col>
      <xdr:colOff>136221</xdr:colOff>
      <xdr:row>120</xdr:row>
      <xdr:rowOff>136690</xdr:rowOff>
    </xdr:to>
    <xdr:pic>
      <xdr:nvPicPr>
        <xdr:cNvPr id="67" name="Picture 66">
          <a:hlinkClick xmlns:r="http://schemas.openxmlformats.org/officeDocument/2006/relationships" r:id="rId66"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7097844"/>
          <a:ext cx="136221" cy="136221"/>
        </a:xfrm>
        <a:prstGeom prst="rect">
          <a:avLst/>
        </a:prstGeom>
      </xdr:spPr>
    </xdr:pic>
    <xdr:clientData fPrintsWithSheet="0"/>
  </xdr:twoCellAnchor>
  <xdr:twoCellAnchor editAs="oneCell">
    <xdr:from>
      <xdr:col>2</xdr:col>
      <xdr:colOff>210</xdr:colOff>
      <xdr:row>121</xdr:row>
      <xdr:rowOff>1360</xdr:rowOff>
    </xdr:from>
    <xdr:to>
      <xdr:col>2</xdr:col>
      <xdr:colOff>136010</xdr:colOff>
      <xdr:row>121</xdr:row>
      <xdr:rowOff>137160</xdr:rowOff>
    </xdr:to>
    <xdr:pic>
      <xdr:nvPicPr>
        <xdr:cNvPr id="68" name="Picture 67">
          <a:hlinkClick xmlns:r="http://schemas.openxmlformats.org/officeDocument/2006/relationships" r:id="rId67"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735" y="17260660"/>
          <a:ext cx="135800" cy="135800"/>
        </a:xfrm>
        <a:prstGeom prst="rect">
          <a:avLst/>
        </a:prstGeom>
      </xdr:spPr>
    </xdr:pic>
    <xdr:clientData fPrintsWithSheet="0"/>
  </xdr:twoCellAnchor>
  <xdr:twoCellAnchor editAs="oneCell">
    <xdr:from>
      <xdr:col>2</xdr:col>
      <xdr:colOff>0</xdr:colOff>
      <xdr:row>122</xdr:row>
      <xdr:rowOff>469</xdr:rowOff>
    </xdr:from>
    <xdr:to>
      <xdr:col>2</xdr:col>
      <xdr:colOff>136221</xdr:colOff>
      <xdr:row>122</xdr:row>
      <xdr:rowOff>136690</xdr:rowOff>
    </xdr:to>
    <xdr:pic>
      <xdr:nvPicPr>
        <xdr:cNvPr id="69" name="Picture 68">
          <a:hlinkClick xmlns:r="http://schemas.openxmlformats.org/officeDocument/2006/relationships" r:id="rId68"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7421694"/>
          <a:ext cx="136221" cy="136221"/>
        </a:xfrm>
        <a:prstGeom prst="rect">
          <a:avLst/>
        </a:prstGeom>
      </xdr:spPr>
    </xdr:pic>
    <xdr:clientData fPrintsWithSheet="0"/>
  </xdr:twoCellAnchor>
  <xdr:twoCellAnchor editAs="oneCell">
    <xdr:from>
      <xdr:col>2</xdr:col>
      <xdr:colOff>0</xdr:colOff>
      <xdr:row>133</xdr:row>
      <xdr:rowOff>469</xdr:rowOff>
    </xdr:from>
    <xdr:to>
      <xdr:col>2</xdr:col>
      <xdr:colOff>136221</xdr:colOff>
      <xdr:row>133</xdr:row>
      <xdr:rowOff>136690</xdr:rowOff>
    </xdr:to>
    <xdr:pic>
      <xdr:nvPicPr>
        <xdr:cNvPr id="70" name="Picture 69">
          <a:hlinkClick xmlns:r="http://schemas.openxmlformats.org/officeDocument/2006/relationships" r:id="rId69"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9202869"/>
          <a:ext cx="136221" cy="136221"/>
        </a:xfrm>
        <a:prstGeom prst="rect">
          <a:avLst/>
        </a:prstGeom>
      </xdr:spPr>
    </xdr:pic>
    <xdr:clientData fPrintsWithSheet="0"/>
  </xdr:twoCellAnchor>
  <xdr:twoCellAnchor editAs="oneCell">
    <xdr:from>
      <xdr:col>2</xdr:col>
      <xdr:colOff>0</xdr:colOff>
      <xdr:row>134</xdr:row>
      <xdr:rowOff>469</xdr:rowOff>
    </xdr:from>
    <xdr:to>
      <xdr:col>2</xdr:col>
      <xdr:colOff>136221</xdr:colOff>
      <xdr:row>134</xdr:row>
      <xdr:rowOff>136690</xdr:rowOff>
    </xdr:to>
    <xdr:pic>
      <xdr:nvPicPr>
        <xdr:cNvPr id="71" name="Picture 70">
          <a:hlinkClick xmlns:r="http://schemas.openxmlformats.org/officeDocument/2006/relationships" r:id="rId70"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9364794"/>
          <a:ext cx="136221" cy="136221"/>
        </a:xfrm>
        <a:prstGeom prst="rect">
          <a:avLst/>
        </a:prstGeom>
      </xdr:spPr>
    </xdr:pic>
    <xdr:clientData fPrintsWithSheet="0"/>
  </xdr:twoCellAnchor>
  <xdr:twoCellAnchor editAs="oneCell">
    <xdr:from>
      <xdr:col>2</xdr:col>
      <xdr:colOff>0</xdr:colOff>
      <xdr:row>135</xdr:row>
      <xdr:rowOff>469</xdr:rowOff>
    </xdr:from>
    <xdr:to>
      <xdr:col>2</xdr:col>
      <xdr:colOff>136221</xdr:colOff>
      <xdr:row>135</xdr:row>
      <xdr:rowOff>136690</xdr:rowOff>
    </xdr:to>
    <xdr:pic>
      <xdr:nvPicPr>
        <xdr:cNvPr id="72" name="Picture 71">
          <a:hlinkClick xmlns:r="http://schemas.openxmlformats.org/officeDocument/2006/relationships" r:id="rId71"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9526719"/>
          <a:ext cx="136221" cy="136221"/>
        </a:xfrm>
        <a:prstGeom prst="rect">
          <a:avLst/>
        </a:prstGeom>
      </xdr:spPr>
    </xdr:pic>
    <xdr:clientData fPrintsWithSheet="0"/>
  </xdr:twoCellAnchor>
  <xdr:twoCellAnchor editAs="oneCell">
    <xdr:from>
      <xdr:col>2</xdr:col>
      <xdr:colOff>0</xdr:colOff>
      <xdr:row>137</xdr:row>
      <xdr:rowOff>469</xdr:rowOff>
    </xdr:from>
    <xdr:to>
      <xdr:col>2</xdr:col>
      <xdr:colOff>136221</xdr:colOff>
      <xdr:row>137</xdr:row>
      <xdr:rowOff>136690</xdr:rowOff>
    </xdr:to>
    <xdr:pic>
      <xdr:nvPicPr>
        <xdr:cNvPr id="73" name="Picture 72">
          <a:hlinkClick xmlns:r="http://schemas.openxmlformats.org/officeDocument/2006/relationships" r:id="rId72"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9850569"/>
          <a:ext cx="136221" cy="136221"/>
        </a:xfrm>
        <a:prstGeom prst="rect">
          <a:avLst/>
        </a:prstGeom>
      </xdr:spPr>
    </xdr:pic>
    <xdr:clientData fPrintsWithSheet="0"/>
  </xdr:twoCellAnchor>
  <xdr:twoCellAnchor editAs="oneCell">
    <xdr:from>
      <xdr:col>2</xdr:col>
      <xdr:colOff>0</xdr:colOff>
      <xdr:row>138</xdr:row>
      <xdr:rowOff>469</xdr:rowOff>
    </xdr:from>
    <xdr:to>
      <xdr:col>2</xdr:col>
      <xdr:colOff>136221</xdr:colOff>
      <xdr:row>138</xdr:row>
      <xdr:rowOff>136690</xdr:rowOff>
    </xdr:to>
    <xdr:pic>
      <xdr:nvPicPr>
        <xdr:cNvPr id="74" name="Picture 73">
          <a:hlinkClick xmlns:r="http://schemas.openxmlformats.org/officeDocument/2006/relationships" r:id="rId73"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20012494"/>
          <a:ext cx="136221" cy="136221"/>
        </a:xfrm>
        <a:prstGeom prst="rect">
          <a:avLst/>
        </a:prstGeom>
      </xdr:spPr>
    </xdr:pic>
    <xdr:clientData fPrintsWithSheet="0"/>
  </xdr:twoCellAnchor>
  <xdr:twoCellAnchor editAs="oneCell">
    <xdr:from>
      <xdr:col>2</xdr:col>
      <xdr:colOff>210</xdr:colOff>
      <xdr:row>141</xdr:row>
      <xdr:rowOff>1360</xdr:rowOff>
    </xdr:from>
    <xdr:to>
      <xdr:col>2</xdr:col>
      <xdr:colOff>136010</xdr:colOff>
      <xdr:row>141</xdr:row>
      <xdr:rowOff>137160</xdr:rowOff>
    </xdr:to>
    <xdr:pic>
      <xdr:nvPicPr>
        <xdr:cNvPr id="76" name="Picture 75">
          <a:hlinkClick xmlns:r="http://schemas.openxmlformats.org/officeDocument/2006/relationships" r:id="rId74"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735" y="20175310"/>
          <a:ext cx="135800" cy="135800"/>
        </a:xfrm>
        <a:prstGeom prst="rect">
          <a:avLst/>
        </a:prstGeom>
      </xdr:spPr>
    </xdr:pic>
    <xdr:clientData fPrintsWithSheet="0"/>
  </xdr:twoCellAnchor>
  <xdr:twoCellAnchor editAs="oneCell">
    <xdr:from>
      <xdr:col>2</xdr:col>
      <xdr:colOff>0</xdr:colOff>
      <xdr:row>142</xdr:row>
      <xdr:rowOff>469</xdr:rowOff>
    </xdr:from>
    <xdr:to>
      <xdr:col>2</xdr:col>
      <xdr:colOff>136221</xdr:colOff>
      <xdr:row>142</xdr:row>
      <xdr:rowOff>136690</xdr:rowOff>
    </xdr:to>
    <xdr:pic>
      <xdr:nvPicPr>
        <xdr:cNvPr id="77" name="Picture 76">
          <a:hlinkClick xmlns:r="http://schemas.openxmlformats.org/officeDocument/2006/relationships" r:id="rId75"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20336344"/>
          <a:ext cx="136221" cy="136221"/>
        </a:xfrm>
        <a:prstGeom prst="rect">
          <a:avLst/>
        </a:prstGeom>
      </xdr:spPr>
    </xdr:pic>
    <xdr:clientData fPrintsWithSheet="0"/>
  </xdr:twoCellAnchor>
  <xdr:twoCellAnchor editAs="oneCell">
    <xdr:from>
      <xdr:col>2</xdr:col>
      <xdr:colOff>0</xdr:colOff>
      <xdr:row>49</xdr:row>
      <xdr:rowOff>469</xdr:rowOff>
    </xdr:from>
    <xdr:to>
      <xdr:col>2</xdr:col>
      <xdr:colOff>136221</xdr:colOff>
      <xdr:row>49</xdr:row>
      <xdr:rowOff>136690</xdr:rowOff>
    </xdr:to>
    <xdr:pic>
      <xdr:nvPicPr>
        <xdr:cNvPr id="75" name="Picture 74">
          <a:hlinkClick xmlns:r="http://schemas.openxmlformats.org/officeDocument/2006/relationships" r:id="rId76"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7296619"/>
          <a:ext cx="136221" cy="136221"/>
        </a:xfrm>
        <a:prstGeom prst="rect">
          <a:avLst/>
        </a:prstGeom>
      </xdr:spPr>
    </xdr:pic>
    <xdr:clientData fPrintsWithSheet="0"/>
  </xdr:twoCellAnchor>
  <xdr:twoCellAnchor editAs="oneCell">
    <xdr:from>
      <xdr:col>2</xdr:col>
      <xdr:colOff>0</xdr:colOff>
      <xdr:row>50</xdr:row>
      <xdr:rowOff>469</xdr:rowOff>
    </xdr:from>
    <xdr:to>
      <xdr:col>2</xdr:col>
      <xdr:colOff>136221</xdr:colOff>
      <xdr:row>50</xdr:row>
      <xdr:rowOff>136690</xdr:rowOff>
    </xdr:to>
    <xdr:pic>
      <xdr:nvPicPr>
        <xdr:cNvPr id="78" name="Picture 77">
          <a:hlinkClick xmlns:r="http://schemas.openxmlformats.org/officeDocument/2006/relationships" r:id="rId77"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7458544"/>
          <a:ext cx="136221" cy="136221"/>
        </a:xfrm>
        <a:prstGeom prst="rect">
          <a:avLst/>
        </a:prstGeom>
      </xdr:spPr>
    </xdr:pic>
    <xdr:clientData fPrintsWithSheet="0"/>
  </xdr:twoCellAnchor>
  <xdr:twoCellAnchor editAs="oneCell">
    <xdr:from>
      <xdr:col>2</xdr:col>
      <xdr:colOff>0</xdr:colOff>
      <xdr:row>99</xdr:row>
      <xdr:rowOff>469</xdr:rowOff>
    </xdr:from>
    <xdr:to>
      <xdr:col>2</xdr:col>
      <xdr:colOff>136221</xdr:colOff>
      <xdr:row>99</xdr:row>
      <xdr:rowOff>136690</xdr:rowOff>
    </xdr:to>
    <xdr:pic>
      <xdr:nvPicPr>
        <xdr:cNvPr id="79" name="Picture 78">
          <a:hlinkClick xmlns:r="http://schemas.openxmlformats.org/officeDocument/2006/relationships" r:id="rId78"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4373694"/>
          <a:ext cx="136221" cy="136221"/>
        </a:xfrm>
        <a:prstGeom prst="rect">
          <a:avLst/>
        </a:prstGeom>
      </xdr:spPr>
    </xdr:pic>
    <xdr:clientData fPrintsWithSheet="0"/>
  </xdr:twoCellAnchor>
  <xdr:twoCellAnchor editAs="oneCell">
    <xdr:from>
      <xdr:col>2</xdr:col>
      <xdr:colOff>0</xdr:colOff>
      <xdr:row>100</xdr:row>
      <xdr:rowOff>469</xdr:rowOff>
    </xdr:from>
    <xdr:to>
      <xdr:col>2</xdr:col>
      <xdr:colOff>136221</xdr:colOff>
      <xdr:row>100</xdr:row>
      <xdr:rowOff>136690</xdr:rowOff>
    </xdr:to>
    <xdr:pic>
      <xdr:nvPicPr>
        <xdr:cNvPr id="80" name="Picture 79">
          <a:hlinkClick xmlns:r="http://schemas.openxmlformats.org/officeDocument/2006/relationships" r:id="rId79"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4526094"/>
          <a:ext cx="136221" cy="136221"/>
        </a:xfrm>
        <a:prstGeom prst="rect">
          <a:avLst/>
        </a:prstGeom>
      </xdr:spPr>
    </xdr:pic>
    <xdr:clientData fPrintsWithSheet="0"/>
  </xdr:twoCellAnchor>
  <xdr:twoCellAnchor editAs="oneCell">
    <xdr:from>
      <xdr:col>2</xdr:col>
      <xdr:colOff>0</xdr:colOff>
      <xdr:row>123</xdr:row>
      <xdr:rowOff>469</xdr:rowOff>
    </xdr:from>
    <xdr:to>
      <xdr:col>2</xdr:col>
      <xdr:colOff>136221</xdr:colOff>
      <xdr:row>123</xdr:row>
      <xdr:rowOff>136690</xdr:rowOff>
    </xdr:to>
    <xdr:pic>
      <xdr:nvPicPr>
        <xdr:cNvPr id="81" name="Picture 80">
          <a:hlinkClick xmlns:r="http://schemas.openxmlformats.org/officeDocument/2006/relationships" r:id="rId80"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7583619"/>
          <a:ext cx="136221" cy="136221"/>
        </a:xfrm>
        <a:prstGeom prst="rect">
          <a:avLst/>
        </a:prstGeom>
      </xdr:spPr>
    </xdr:pic>
    <xdr:clientData fPrintsWithSheet="0"/>
  </xdr:twoCellAnchor>
  <xdr:twoCellAnchor editAs="oneCell">
    <xdr:from>
      <xdr:col>2</xdr:col>
      <xdr:colOff>0</xdr:colOff>
      <xdr:row>124</xdr:row>
      <xdr:rowOff>469</xdr:rowOff>
    </xdr:from>
    <xdr:to>
      <xdr:col>2</xdr:col>
      <xdr:colOff>136221</xdr:colOff>
      <xdr:row>124</xdr:row>
      <xdr:rowOff>136690</xdr:rowOff>
    </xdr:to>
    <xdr:pic>
      <xdr:nvPicPr>
        <xdr:cNvPr id="82" name="Picture 81">
          <a:hlinkClick xmlns:r="http://schemas.openxmlformats.org/officeDocument/2006/relationships" r:id="rId81"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7745544"/>
          <a:ext cx="136221" cy="136221"/>
        </a:xfrm>
        <a:prstGeom prst="rect">
          <a:avLst/>
        </a:prstGeom>
      </xdr:spPr>
    </xdr:pic>
    <xdr:clientData fPrintsWithSheet="0"/>
  </xdr:twoCellAnchor>
  <xdr:twoCellAnchor editAs="oneCell">
    <xdr:from>
      <xdr:col>2</xdr:col>
      <xdr:colOff>0</xdr:colOff>
      <xdr:row>125</xdr:row>
      <xdr:rowOff>469</xdr:rowOff>
    </xdr:from>
    <xdr:to>
      <xdr:col>2</xdr:col>
      <xdr:colOff>136221</xdr:colOff>
      <xdr:row>125</xdr:row>
      <xdr:rowOff>136690</xdr:rowOff>
    </xdr:to>
    <xdr:pic>
      <xdr:nvPicPr>
        <xdr:cNvPr id="83" name="Picture 82">
          <a:hlinkClick xmlns:r="http://schemas.openxmlformats.org/officeDocument/2006/relationships" r:id="rId82"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7907469"/>
          <a:ext cx="136221" cy="136221"/>
        </a:xfrm>
        <a:prstGeom prst="rect">
          <a:avLst/>
        </a:prstGeom>
      </xdr:spPr>
    </xdr:pic>
    <xdr:clientData fPrintsWithSheet="0"/>
  </xdr:twoCellAnchor>
  <xdr:twoCellAnchor editAs="oneCell">
    <xdr:from>
      <xdr:col>2</xdr:col>
      <xdr:colOff>0</xdr:colOff>
      <xdr:row>126</xdr:row>
      <xdr:rowOff>469</xdr:rowOff>
    </xdr:from>
    <xdr:to>
      <xdr:col>2</xdr:col>
      <xdr:colOff>136221</xdr:colOff>
      <xdr:row>126</xdr:row>
      <xdr:rowOff>136690</xdr:rowOff>
    </xdr:to>
    <xdr:pic>
      <xdr:nvPicPr>
        <xdr:cNvPr id="84" name="Picture 83">
          <a:hlinkClick xmlns:r="http://schemas.openxmlformats.org/officeDocument/2006/relationships" r:id="rId83"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8069394"/>
          <a:ext cx="136221" cy="136221"/>
        </a:xfrm>
        <a:prstGeom prst="rect">
          <a:avLst/>
        </a:prstGeom>
      </xdr:spPr>
    </xdr:pic>
    <xdr:clientData fPrintsWithSheet="0"/>
  </xdr:twoCellAnchor>
  <xdr:twoCellAnchor editAs="oneCell">
    <xdr:from>
      <xdr:col>2</xdr:col>
      <xdr:colOff>0</xdr:colOff>
      <xdr:row>127</xdr:row>
      <xdr:rowOff>469</xdr:rowOff>
    </xdr:from>
    <xdr:to>
      <xdr:col>2</xdr:col>
      <xdr:colOff>136221</xdr:colOff>
      <xdr:row>127</xdr:row>
      <xdr:rowOff>136690</xdr:rowOff>
    </xdr:to>
    <xdr:pic>
      <xdr:nvPicPr>
        <xdr:cNvPr id="85" name="Picture 84">
          <a:hlinkClick xmlns:r="http://schemas.openxmlformats.org/officeDocument/2006/relationships" r:id="rId84"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8231319"/>
          <a:ext cx="136221" cy="136221"/>
        </a:xfrm>
        <a:prstGeom prst="rect">
          <a:avLst/>
        </a:prstGeom>
      </xdr:spPr>
    </xdr:pic>
    <xdr:clientData fPrintsWithSheet="0"/>
  </xdr:twoCellAnchor>
  <xdr:twoCellAnchor editAs="oneCell">
    <xdr:from>
      <xdr:col>2</xdr:col>
      <xdr:colOff>0</xdr:colOff>
      <xdr:row>128</xdr:row>
      <xdr:rowOff>469</xdr:rowOff>
    </xdr:from>
    <xdr:to>
      <xdr:col>2</xdr:col>
      <xdr:colOff>136221</xdr:colOff>
      <xdr:row>128</xdr:row>
      <xdr:rowOff>136690</xdr:rowOff>
    </xdr:to>
    <xdr:pic>
      <xdr:nvPicPr>
        <xdr:cNvPr id="86" name="Picture 85">
          <a:hlinkClick xmlns:r="http://schemas.openxmlformats.org/officeDocument/2006/relationships" r:id="rId85"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8393244"/>
          <a:ext cx="136221" cy="136221"/>
        </a:xfrm>
        <a:prstGeom prst="rect">
          <a:avLst/>
        </a:prstGeom>
      </xdr:spPr>
    </xdr:pic>
    <xdr:clientData fPrintsWithSheet="0"/>
  </xdr:twoCellAnchor>
  <xdr:twoCellAnchor editAs="oneCell">
    <xdr:from>
      <xdr:col>2</xdr:col>
      <xdr:colOff>0</xdr:colOff>
      <xdr:row>129</xdr:row>
      <xdr:rowOff>469</xdr:rowOff>
    </xdr:from>
    <xdr:to>
      <xdr:col>2</xdr:col>
      <xdr:colOff>136221</xdr:colOff>
      <xdr:row>129</xdr:row>
      <xdr:rowOff>136690</xdr:rowOff>
    </xdr:to>
    <xdr:pic>
      <xdr:nvPicPr>
        <xdr:cNvPr id="87" name="Picture 86">
          <a:hlinkClick xmlns:r="http://schemas.openxmlformats.org/officeDocument/2006/relationships" r:id="rId86"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8555169"/>
          <a:ext cx="136221" cy="136221"/>
        </a:xfrm>
        <a:prstGeom prst="rect">
          <a:avLst/>
        </a:prstGeom>
      </xdr:spPr>
    </xdr:pic>
    <xdr:clientData fPrintsWithSheet="0"/>
  </xdr:twoCellAnchor>
  <xdr:twoCellAnchor editAs="oneCell">
    <xdr:from>
      <xdr:col>2</xdr:col>
      <xdr:colOff>210</xdr:colOff>
      <xdr:row>130</xdr:row>
      <xdr:rowOff>1360</xdr:rowOff>
    </xdr:from>
    <xdr:to>
      <xdr:col>2</xdr:col>
      <xdr:colOff>136010</xdr:colOff>
      <xdr:row>130</xdr:row>
      <xdr:rowOff>137160</xdr:rowOff>
    </xdr:to>
    <xdr:pic>
      <xdr:nvPicPr>
        <xdr:cNvPr id="88" name="Picture 87">
          <a:hlinkClick xmlns:r="http://schemas.openxmlformats.org/officeDocument/2006/relationships" r:id="rId87"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735" y="18717985"/>
          <a:ext cx="135800" cy="135800"/>
        </a:xfrm>
        <a:prstGeom prst="rect">
          <a:avLst/>
        </a:prstGeom>
      </xdr:spPr>
    </xdr:pic>
    <xdr:clientData fPrintsWithSheet="0"/>
  </xdr:twoCellAnchor>
  <xdr:twoCellAnchor editAs="oneCell">
    <xdr:from>
      <xdr:col>2</xdr:col>
      <xdr:colOff>0</xdr:colOff>
      <xdr:row>131</xdr:row>
      <xdr:rowOff>469</xdr:rowOff>
    </xdr:from>
    <xdr:to>
      <xdr:col>2</xdr:col>
      <xdr:colOff>136221</xdr:colOff>
      <xdr:row>131</xdr:row>
      <xdr:rowOff>136690</xdr:rowOff>
    </xdr:to>
    <xdr:pic>
      <xdr:nvPicPr>
        <xdr:cNvPr id="89" name="Picture 88">
          <a:hlinkClick xmlns:r="http://schemas.openxmlformats.org/officeDocument/2006/relationships" r:id="rId88"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8879019"/>
          <a:ext cx="136221" cy="136221"/>
        </a:xfrm>
        <a:prstGeom prst="rect">
          <a:avLst/>
        </a:prstGeom>
      </xdr:spPr>
    </xdr:pic>
    <xdr:clientData fPrintsWithSheet="0"/>
  </xdr:twoCellAnchor>
  <xdr:twoCellAnchor editAs="oneCell">
    <xdr:from>
      <xdr:col>2</xdr:col>
      <xdr:colOff>0</xdr:colOff>
      <xdr:row>132</xdr:row>
      <xdr:rowOff>469</xdr:rowOff>
    </xdr:from>
    <xdr:to>
      <xdr:col>2</xdr:col>
      <xdr:colOff>136221</xdr:colOff>
      <xdr:row>132</xdr:row>
      <xdr:rowOff>136690</xdr:rowOff>
    </xdr:to>
    <xdr:pic>
      <xdr:nvPicPr>
        <xdr:cNvPr id="90" name="Picture 89">
          <a:hlinkClick xmlns:r="http://schemas.openxmlformats.org/officeDocument/2006/relationships" r:id="rId89"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9040944"/>
          <a:ext cx="136221" cy="136221"/>
        </a:xfrm>
        <a:prstGeom prst="rect">
          <a:avLst/>
        </a:prstGeom>
      </xdr:spPr>
    </xdr:pic>
    <xdr:clientData fPrintsWithSheet="0"/>
  </xdr:twoCellAnchor>
  <xdr:twoCellAnchor editAs="oneCell">
    <xdr:from>
      <xdr:col>2</xdr:col>
      <xdr:colOff>0</xdr:colOff>
      <xdr:row>136</xdr:row>
      <xdr:rowOff>469</xdr:rowOff>
    </xdr:from>
    <xdr:to>
      <xdr:col>2</xdr:col>
      <xdr:colOff>136221</xdr:colOff>
      <xdr:row>136</xdr:row>
      <xdr:rowOff>136690</xdr:rowOff>
    </xdr:to>
    <xdr:pic>
      <xdr:nvPicPr>
        <xdr:cNvPr id="91" name="Picture 90">
          <a:hlinkClick xmlns:r="http://schemas.openxmlformats.org/officeDocument/2006/relationships" r:id="rId90"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9688644"/>
          <a:ext cx="136221" cy="136221"/>
        </a:xfrm>
        <a:prstGeom prst="rect">
          <a:avLst/>
        </a:prstGeom>
      </xdr:spPr>
    </xdr:pic>
    <xdr:clientData fPrintsWithSheet="0"/>
  </xdr:twoCellAnchor>
  <xdr:twoCellAnchor editAs="oneCell">
    <xdr:from>
      <xdr:col>6</xdr:col>
      <xdr:colOff>619125</xdr:colOff>
      <xdr:row>2</xdr:row>
      <xdr:rowOff>65178</xdr:rowOff>
    </xdr:from>
    <xdr:to>
      <xdr:col>8</xdr:col>
      <xdr:colOff>713395</xdr:colOff>
      <xdr:row>5</xdr:row>
      <xdr:rowOff>96746</xdr:rowOff>
    </xdr:to>
    <xdr:sp macro="[0]!PrintBS_Final" textlink="">
      <xdr:nvSpPr>
        <xdr:cNvPr id="92" name="Rectangle 91">
          <a:hlinkClick xmlns:r="http://schemas.openxmlformats.org/officeDocument/2006/relationships" r:id="rId91" tooltip="Go to General Info"/>
        </xdr:cNvPr>
        <xdr:cNvSpPr/>
      </xdr:nvSpPr>
      <xdr:spPr>
        <a:xfrm>
          <a:off x="6191250" y="398553"/>
          <a:ext cx="1599220" cy="545918"/>
        </a:xfrm>
        <a:prstGeom prst="rect">
          <a:avLst/>
        </a:prstGeom>
        <a:solidFill>
          <a:srgbClr val="F37321"/>
        </a:solidFill>
        <a:ln>
          <a:solidFill>
            <a:sysClr val="windowText" lastClr="000000"/>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400" b="1"/>
            <a:t>Go</a:t>
          </a:r>
          <a:r>
            <a:rPr lang="en-US" sz="1400" b="1" baseline="0"/>
            <a:t> to Gen Info</a:t>
          </a:r>
          <a:endParaRPr lang="en-US" sz="1400" b="1"/>
        </a:p>
      </xdr:txBody>
    </xdr:sp>
    <xdr:clientData fPrintsWithSheet="0"/>
  </xdr:twoCellAnchor>
  <xdr:twoCellAnchor editAs="oneCell">
    <xdr:from>
      <xdr:col>2</xdr:col>
      <xdr:colOff>0</xdr:colOff>
      <xdr:row>52</xdr:row>
      <xdr:rowOff>0</xdr:rowOff>
    </xdr:from>
    <xdr:to>
      <xdr:col>2</xdr:col>
      <xdr:colOff>136221</xdr:colOff>
      <xdr:row>52</xdr:row>
      <xdr:rowOff>136221</xdr:rowOff>
    </xdr:to>
    <xdr:pic>
      <xdr:nvPicPr>
        <xdr:cNvPr id="93" name="Picture 92">
          <a:hlinkClick xmlns:r="http://schemas.openxmlformats.org/officeDocument/2006/relationships" r:id="rId92"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8583" y="7852833"/>
          <a:ext cx="136221" cy="136221"/>
        </a:xfrm>
        <a:prstGeom prst="rect">
          <a:avLst/>
        </a:prstGeom>
      </xdr:spPr>
    </xdr:pic>
    <xdr:clientData fPrintsWithSheet="0"/>
  </xdr:twoCellAnchor>
  <xdr:twoCellAnchor editAs="oneCell">
    <xdr:from>
      <xdr:col>2</xdr:col>
      <xdr:colOff>0</xdr:colOff>
      <xdr:row>54</xdr:row>
      <xdr:rowOff>0</xdr:rowOff>
    </xdr:from>
    <xdr:to>
      <xdr:col>2</xdr:col>
      <xdr:colOff>136221</xdr:colOff>
      <xdr:row>54</xdr:row>
      <xdr:rowOff>136221</xdr:rowOff>
    </xdr:to>
    <xdr:pic>
      <xdr:nvPicPr>
        <xdr:cNvPr id="94" name="Picture 93">
          <a:hlinkClick xmlns:r="http://schemas.openxmlformats.org/officeDocument/2006/relationships" r:id="rId93"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8583" y="8170333"/>
          <a:ext cx="136221" cy="136221"/>
        </a:xfrm>
        <a:prstGeom prst="rect">
          <a:avLst/>
        </a:prstGeom>
      </xdr:spPr>
    </xdr:pic>
    <xdr:clientData fPrintsWithSheet="0"/>
  </xdr:twoCellAnchor>
  <xdr:twoCellAnchor editAs="oneCell">
    <xdr:from>
      <xdr:col>2</xdr:col>
      <xdr:colOff>0</xdr:colOff>
      <xdr:row>102</xdr:row>
      <xdr:rowOff>0</xdr:rowOff>
    </xdr:from>
    <xdr:to>
      <xdr:col>2</xdr:col>
      <xdr:colOff>136221</xdr:colOff>
      <xdr:row>102</xdr:row>
      <xdr:rowOff>136221</xdr:rowOff>
    </xdr:to>
    <xdr:pic>
      <xdr:nvPicPr>
        <xdr:cNvPr id="95" name="Picture 94">
          <a:hlinkClick xmlns:r="http://schemas.openxmlformats.org/officeDocument/2006/relationships" r:id="rId94"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8583" y="15070667"/>
          <a:ext cx="136221" cy="136221"/>
        </a:xfrm>
        <a:prstGeom prst="rect">
          <a:avLst/>
        </a:prstGeom>
      </xdr:spPr>
    </xdr:pic>
    <xdr:clientData fPrintsWithSheet="0"/>
  </xdr:twoCellAnchor>
  <xdr:twoCellAnchor editAs="oneCell">
    <xdr:from>
      <xdr:col>2</xdr:col>
      <xdr:colOff>0</xdr:colOff>
      <xdr:row>88</xdr:row>
      <xdr:rowOff>0</xdr:rowOff>
    </xdr:from>
    <xdr:to>
      <xdr:col>2</xdr:col>
      <xdr:colOff>136221</xdr:colOff>
      <xdr:row>88</xdr:row>
      <xdr:rowOff>136221</xdr:rowOff>
    </xdr:to>
    <xdr:pic>
      <xdr:nvPicPr>
        <xdr:cNvPr id="96" name="Picture 95">
          <a:hlinkClick xmlns:r="http://schemas.openxmlformats.org/officeDocument/2006/relationships" r:id="rId95"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13544550"/>
          <a:ext cx="136221" cy="136221"/>
        </a:xfrm>
        <a:prstGeom prst="rect">
          <a:avLst/>
        </a:prstGeom>
      </xdr:spPr>
    </xdr:pic>
    <xdr:clientData fPrintsWithSheet="0"/>
  </xdr:twoCellAnchor>
  <xdr:twoCellAnchor editAs="oneCell">
    <xdr:from>
      <xdr:col>2</xdr:col>
      <xdr:colOff>0</xdr:colOff>
      <xdr:row>139</xdr:row>
      <xdr:rowOff>0</xdr:rowOff>
    </xdr:from>
    <xdr:to>
      <xdr:col>2</xdr:col>
      <xdr:colOff>136221</xdr:colOff>
      <xdr:row>139</xdr:row>
      <xdr:rowOff>136221</xdr:rowOff>
    </xdr:to>
    <xdr:pic>
      <xdr:nvPicPr>
        <xdr:cNvPr id="97" name="Picture 96">
          <a:hlinkClick xmlns:r="http://schemas.openxmlformats.org/officeDocument/2006/relationships" r:id="rId96"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20993100"/>
          <a:ext cx="136221" cy="136221"/>
        </a:xfrm>
        <a:prstGeom prst="rect">
          <a:avLst/>
        </a:prstGeom>
      </xdr:spPr>
    </xdr:pic>
    <xdr:clientData fPrintsWithSheet="0"/>
  </xdr:twoCellAnchor>
  <xdr:twoCellAnchor editAs="oneCell">
    <xdr:from>
      <xdr:col>2</xdr:col>
      <xdr:colOff>0</xdr:colOff>
      <xdr:row>140</xdr:row>
      <xdr:rowOff>0</xdr:rowOff>
    </xdr:from>
    <xdr:to>
      <xdr:col>2</xdr:col>
      <xdr:colOff>136221</xdr:colOff>
      <xdr:row>140</xdr:row>
      <xdr:rowOff>136221</xdr:rowOff>
    </xdr:to>
    <xdr:pic>
      <xdr:nvPicPr>
        <xdr:cNvPr id="98" name="Picture 97">
          <a:hlinkClick xmlns:r="http://schemas.openxmlformats.org/officeDocument/2006/relationships" r:id="rId97" tooltip="Go back to annual summary"/>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057525" y="21155025"/>
          <a:ext cx="136221" cy="136221"/>
        </a:xfrm>
        <a:prstGeom prst="rect">
          <a:avLst/>
        </a:prstGeom>
      </xdr:spPr>
    </xdr:pic>
    <xdr:clientData fPrintsWithSheet="0"/>
  </xdr:twoCellAnchor>
</xdr:wsDr>
</file>

<file path=xl/drawings/drawing9.xml><?xml version="1.0" encoding="utf-8"?>
<xdr:wsDr xmlns:xdr="http://schemas.openxmlformats.org/drawingml/2006/spreadsheetDrawing" xmlns:a="http://schemas.openxmlformats.org/drawingml/2006/main">
  <xdr:twoCellAnchor editAs="oneCell">
    <xdr:from>
      <xdr:col>3</xdr:col>
      <xdr:colOff>6829</xdr:colOff>
      <xdr:row>24</xdr:row>
      <xdr:rowOff>6651</xdr:rowOff>
    </xdr:from>
    <xdr:to>
      <xdr:col>4</xdr:col>
      <xdr:colOff>1608</xdr:colOff>
      <xdr:row>25</xdr:row>
      <xdr:rowOff>8234</xdr:rowOff>
    </xdr:to>
    <xdr:pic>
      <xdr:nvPicPr>
        <xdr:cNvPr id="2" name="MonthlyIco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41097" y="3898294"/>
          <a:ext cx="137654" cy="137654"/>
        </a:xfrm>
        <a:prstGeom prst="rect">
          <a:avLst/>
        </a:prstGeom>
      </xdr:spPr>
    </xdr:pic>
    <xdr:clientData/>
  </xdr:twoCellAnchor>
  <xdr:twoCellAnchor editAs="oneCell">
    <xdr:from>
      <xdr:col>3</xdr:col>
      <xdr:colOff>8693</xdr:colOff>
      <xdr:row>23</xdr:row>
      <xdr:rowOff>2902</xdr:rowOff>
    </xdr:from>
    <xdr:to>
      <xdr:col>4</xdr:col>
      <xdr:colOff>471</xdr:colOff>
      <xdr:row>24</xdr:row>
      <xdr:rowOff>4485</xdr:rowOff>
    </xdr:to>
    <xdr:pic>
      <xdr:nvPicPr>
        <xdr:cNvPr id="3" name="AnnIcon"/>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36257" y="3707847"/>
          <a:ext cx="134653" cy="134653"/>
        </a:xfrm>
        <a:prstGeom prst="rect">
          <a:avLst/>
        </a:prstGeom>
      </xdr:spPr>
    </xdr:pic>
    <xdr:clientData/>
  </xdr:twoCellAnchor>
</xdr:wsDr>
</file>

<file path=xl/tables/table1.xml><?xml version="1.0" encoding="utf-8"?>
<table xmlns="http://schemas.openxmlformats.org/spreadsheetml/2006/main" id="1" name="CACash" displayName="CACash" ref="A7:B9" totalsRowShown="0">
  <autoFilter ref="A7:B9">
    <filterColumn colId="0" hiddenButton="1"/>
    <filterColumn colId="1" hiddenButton="1"/>
  </autoFilter>
  <tableColumns count="2">
    <tableColumn id="1" name="Cash (cash, business checking &amp; savings accounts)" dataDxfId="233"/>
    <tableColumn id="3" name="Current Value" dataDxfId="232" dataCellStyle="Comma"/>
  </tableColumns>
  <tableStyleInfo name="TableStyleMedium9 2 2 3" showFirstColumn="0" showLastColumn="0" showRowStripes="1" showColumnStripes="0"/>
</table>
</file>

<file path=xl/tables/table2.xml><?xml version="1.0" encoding="utf-8"?>
<table xmlns="http://schemas.openxmlformats.org/spreadsheetml/2006/main" id="3" name="CADueProc" displayName="CADueProc" ref="A12:B13" totalsRowShown="0">
  <autoFilter ref="A12:B13">
    <filterColumn colId="0" hiddenButton="1"/>
    <filterColumn colId="1" hiddenButton="1"/>
  </autoFilter>
  <tableColumns count="2">
    <tableColumn id="1" name="Due from Processors" dataDxfId="231"/>
    <tableColumn id="2" name="Current Value" dataDxfId="230" dataCellStyle="Comma"/>
  </tableColumns>
  <tableStyleInfo name="TableStyleMedium9 2 2 3" showFirstColumn="0" showLastColumn="0" showRowStripes="1" showColumnStripes="0"/>
</table>
</file>

<file path=xl/tables/table3.xml><?xml version="1.0" encoding="utf-8"?>
<table xmlns="http://schemas.openxmlformats.org/spreadsheetml/2006/main" id="4" name="CAOthReceivable" displayName="CAOthReceivable" ref="A16:B17" totalsRowShown="0">
  <autoFilter ref="A16:B17">
    <filterColumn colId="0" hiddenButton="1"/>
    <filterColumn colId="1" hiddenButton="1"/>
  </autoFilter>
  <tableColumns count="2">
    <tableColumn id="1" name="Other Business Accounts Receivables" dataDxfId="229"/>
    <tableColumn id="2" name="Current Value"/>
  </tableColumns>
  <tableStyleInfo name="TableStyleMedium9 2 2 3" showFirstColumn="0" showLastColumn="0" showRowStripes="1" showColumnStripes="0"/>
</table>
</file>

<file path=xl/tables/table4.xml><?xml version="1.0" encoding="utf-8"?>
<table xmlns="http://schemas.openxmlformats.org/spreadsheetml/2006/main" id="5" name="CABusLoansRec" displayName="CABusLoansRec" ref="A20:B21" totalsRowShown="0">
  <autoFilter ref="A20:B21">
    <filterColumn colId="0" hiddenButton="1"/>
    <filterColumn colId="1" hiddenButton="1"/>
  </autoFilter>
  <tableColumns count="2">
    <tableColumn id="1" name="Business Loans Receivable" dataDxfId="228"/>
    <tableColumn id="2" name="Current Value"/>
  </tableColumns>
  <tableStyleInfo name="TableStyleMedium9 2 2 3" showFirstColumn="0" showLastColumn="0" showRowStripes="1" showColumnStripes="0"/>
</table>
</file>

<file path=xl/tables/table5.xml><?xml version="1.0" encoding="utf-8"?>
<table xmlns="http://schemas.openxmlformats.org/spreadsheetml/2006/main" id="6" name="CAPrepaid" displayName="CAPrepaid" ref="A24:B25" totalsRowShown="0">
  <autoFilter ref="A24:B25">
    <filterColumn colId="0" hiddenButton="1"/>
    <filterColumn colId="1" hiddenButton="1"/>
  </autoFilter>
  <tableColumns count="2">
    <tableColumn id="1" name="Pre-paid Expenses" dataDxfId="227"/>
    <tableColumn id="2" name="Current Value"/>
  </tableColumns>
  <tableStyleInfo name="TableStyleMedium9 2 2 3" showFirstColumn="0" showLastColumn="0" showRowStripes="1" showColumnStripes="0"/>
</table>
</file>

<file path=xl/tables/table6.xml><?xml version="1.0" encoding="utf-8"?>
<table xmlns="http://schemas.openxmlformats.org/spreadsheetml/2006/main" id="7" name="CAOther" displayName="CAOther" ref="A28:B29" totalsRowShown="0">
  <autoFilter ref="A28:B29">
    <filterColumn colId="0" hiddenButton="1"/>
    <filterColumn colId="1" hiddenButton="1"/>
  </autoFilter>
  <tableColumns count="2">
    <tableColumn id="1" name="Other Current Fishing Assets" dataDxfId="226"/>
    <tableColumn id="2" name="Current Value"/>
  </tableColumns>
  <tableStyleInfo name="TableStyleMedium9 2 2 3" showFirstColumn="0" showLastColumn="0" showRowStripes="1" showColumnStripes="0"/>
</table>
</file>

<file path=xl/tables/table7.xml><?xml version="1.0" encoding="utf-8"?>
<table xmlns="http://schemas.openxmlformats.org/spreadsheetml/2006/main" id="8" name="NCRE" displayName="NCRE" ref="D27:E28" totalsRowShown="0">
  <autoFilter ref="D27:E28">
    <filterColumn colId="0" hiddenButton="1"/>
    <filterColumn colId="1" hiddenButton="1"/>
  </autoFilter>
  <tableColumns count="2">
    <tableColumn id="1" name="Business Real Estate" dataDxfId="225"/>
    <tableColumn id="2" name="Current Value" dataDxfId="224" dataCellStyle="Comma"/>
  </tableColumns>
  <tableStyleInfo name="TableStyleMedium9 2 2 3" showFirstColumn="0" showLastColumn="0" showRowStripes="1" showColumnStripes="0"/>
</table>
</file>

<file path=xl/tables/table8.xml><?xml version="1.0" encoding="utf-8"?>
<table xmlns="http://schemas.openxmlformats.org/spreadsheetml/2006/main" id="9" name="NCVessels" displayName="NCVessels" ref="D7:E8" totalsRowShown="0">
  <autoFilter ref="D7:E8">
    <filterColumn colId="0" hiddenButton="1"/>
    <filterColumn colId="1" hiddenButton="1"/>
  </autoFilter>
  <tableColumns count="2">
    <tableColumn id="1" name="Vessels" dataDxfId="223"/>
    <tableColumn id="2" name="Current Value"/>
  </tableColumns>
  <tableStyleInfo name="TableStyleMedium9 2 2 3" showFirstColumn="0" showLastColumn="0" showRowStripes="1" showColumnStripes="0"/>
</table>
</file>

<file path=xl/tables/table9.xml><?xml version="1.0" encoding="utf-8"?>
<table xmlns="http://schemas.openxmlformats.org/spreadsheetml/2006/main" id="11" name="NCOtherFishingEquip" displayName="NCOtherFishingEquip" ref="D11:E12" totalsRowShown="0">
  <autoFilter ref="D11:E12">
    <filterColumn colId="0" hiddenButton="1"/>
    <filterColumn colId="1" hiddenButton="1"/>
  </autoFilter>
  <tableColumns count="2">
    <tableColumn id="1" name="Other Fishing Equipment and Gear"/>
    <tableColumn id="2" name="Current Value"/>
  </tableColumns>
  <tableStyleInfo name="TableStyleMedium9 2 2 3" showFirstColumn="0" showLastColumn="0" showRowStripes="1" showColumnStripes="0"/>
</table>
</file>

<file path=xl/tables/table10.xml><?xml version="1.0" encoding="utf-8"?>
<table xmlns="http://schemas.openxmlformats.org/spreadsheetml/2006/main" id="12" name="NCBusVehicles" displayName="NCBusVehicles" ref="D15:E16" totalsRowShown="0">
  <autoFilter ref="D15:E16">
    <filterColumn colId="0" hiddenButton="1"/>
    <filterColumn colId="1" hiddenButton="1"/>
  </autoFilter>
  <tableColumns count="2">
    <tableColumn id="1" name="Business Vehicles" dataDxfId="222"/>
    <tableColumn id="2" name="Current Value" dataDxfId="221" dataCellStyle="Comma"/>
  </tableColumns>
  <tableStyleInfo name="TableStyleMedium9 2 2 3" showFirstColumn="0" showLastColumn="0" showRowStripes="1" showColumnStripes="0"/>
</table>
</file>

<file path=xl/tables/table11.xml><?xml version="1.0" encoding="utf-8"?>
<table xmlns="http://schemas.openxmlformats.org/spreadsheetml/2006/main" id="13" name="NCPermits" displayName="NCPermits" ref="D19:E20" totalsRowShown="0">
  <autoFilter ref="D19:E20">
    <filterColumn colId="0" hiddenButton="1"/>
    <filterColumn colId="1" hiddenButton="1"/>
  </autoFilter>
  <tableColumns count="2">
    <tableColumn id="1" name="Transferable Permits &amp; Quota" dataDxfId="220"/>
    <tableColumn id="2" name="Current Value"/>
  </tableColumns>
  <tableStyleInfo name="TableStyleMedium9 2 2 3" showFirstColumn="0" showLastColumn="0" showRowStripes="1" showColumnStripes="0"/>
</table>
</file>

<file path=xl/tables/table12.xml><?xml version="1.0" encoding="utf-8"?>
<table xmlns="http://schemas.openxmlformats.org/spreadsheetml/2006/main" id="15" name="NCCapConst" displayName="NCCapConst" ref="D23:E24" totalsRowShown="0">
  <autoFilter ref="D23:E24">
    <filterColumn colId="0" hiddenButton="1"/>
    <filterColumn colId="1" hiddenButton="1"/>
  </autoFilter>
  <tableColumns count="2">
    <tableColumn id="1" name="NOAA Capital Construction Fund Balance"/>
    <tableColumn id="2" name="Current Value"/>
  </tableColumns>
  <tableStyleInfo name="TableStyleMedium9 2 2 3" showFirstColumn="0" showLastColumn="0" showRowStripes="1" showColumnStripes="0"/>
</table>
</file>

<file path=xl/tables/table13.xml><?xml version="1.0" encoding="utf-8"?>
<table xmlns="http://schemas.openxmlformats.org/spreadsheetml/2006/main" id="16" name="NCOtherFishing" displayName="NCOtherFishing" ref="D31:E32" totalsRowShown="0">
  <autoFilter ref="D31:E32">
    <filterColumn colId="0" hiddenButton="1"/>
    <filterColumn colId="1" hiddenButton="1"/>
  </autoFilter>
  <tableColumns count="2">
    <tableColumn id="1" name="Other  Non-Current Fishing Assets" dataDxfId="219"/>
    <tableColumn id="2" name="Current Value"/>
  </tableColumns>
  <tableStyleInfo name="TableStyleMedium9 2 2 3" showFirstColumn="0" showLastColumn="0" showRowStripes="1" showColumnStripes="0"/>
</table>
</file>

<file path=xl/tables/table14.xml><?xml version="1.0" encoding="utf-8"?>
<table xmlns="http://schemas.openxmlformats.org/spreadsheetml/2006/main" id="17" name="PersCash" displayName="PersCash" ref="G7:H8" totalsRowShown="0">
  <autoFilter ref="G7:H8">
    <filterColumn colId="0" hiddenButton="1"/>
    <filterColumn colId="1" hiddenButton="1"/>
  </autoFilter>
  <tableColumns count="2">
    <tableColumn id="1" name="Cash in Personal Accounts" dataDxfId="218"/>
    <tableColumn id="2" name="Current Value"/>
  </tableColumns>
  <tableStyleInfo name="TableStyleMedium9 2 2 3" showFirstColumn="0" showLastColumn="0" showRowStripes="1" showColumnStripes="0"/>
</table>
</file>

<file path=xl/tables/table15.xml><?xml version="1.0" encoding="utf-8"?>
<table xmlns="http://schemas.openxmlformats.org/spreadsheetml/2006/main" id="18" name="PersStock" displayName="PersStock" ref="G11:H12" totalsRowShown="0">
  <autoFilter ref="G11:H12">
    <filterColumn colId="0" hiddenButton="1"/>
    <filterColumn colId="1" hiddenButton="1"/>
  </autoFilter>
  <tableColumns count="2">
    <tableColumn id="1" name="Stocks &amp; Bonds" dataDxfId="217"/>
    <tableColumn id="2" name="Current Value"/>
  </tableColumns>
  <tableStyleInfo name="TableStyleMedium9 2 2 3" showFirstColumn="0" showLastColumn="0" showRowStripes="1" showColumnStripes="0"/>
</table>
</file>

<file path=xl/tables/table16.xml><?xml version="1.0" encoding="utf-8"?>
<table xmlns="http://schemas.openxmlformats.org/spreadsheetml/2006/main" id="19" name="PersLoanR" displayName="PersLoanR" ref="G15:H16" totalsRowShown="0">
  <autoFilter ref="G15:H16">
    <filterColumn colId="0" hiddenButton="1"/>
    <filterColumn colId="1" hiddenButton="1"/>
  </autoFilter>
  <tableColumns count="2">
    <tableColumn id="1" name="Loans Receivable (personal loans)" dataDxfId="216"/>
    <tableColumn id="2" name="Current Value"/>
  </tableColumns>
  <tableStyleInfo name="TableStyleMedium9 2 2 3" showFirstColumn="0" showLastColumn="0" showRowStripes="1" showColumnStripes="0"/>
</table>
</file>

<file path=xl/tables/table17.xml><?xml version="1.0" encoding="utf-8"?>
<table xmlns="http://schemas.openxmlformats.org/spreadsheetml/2006/main" id="20" name="PersLifeIns" displayName="PersLifeIns" ref="G27:H28" totalsRowShown="0">
  <autoFilter ref="G27:H28">
    <filterColumn colId="0" hiddenButton="1"/>
    <filterColumn colId="1" hiddenButton="1"/>
  </autoFilter>
  <tableColumns count="2">
    <tableColumn id="1" name="Cash Value of Life Insurance Policies" dataDxfId="215"/>
    <tableColumn id="2" name="Current Value"/>
  </tableColumns>
  <tableStyleInfo name="TableStyleMedium9 2 2 3" showFirstColumn="0" showLastColumn="0" showRowStripes="1" showColumnStripes="0"/>
</table>
</file>

<file path=xl/tables/table18.xml><?xml version="1.0" encoding="utf-8"?>
<table xmlns="http://schemas.openxmlformats.org/spreadsheetml/2006/main" id="21" name="PersRE" displayName="PersRE" ref="G31:H32" totalsRowShown="0">
  <autoFilter ref="G31:H32">
    <filterColumn colId="0" hiddenButton="1"/>
    <filterColumn colId="1" hiddenButton="1"/>
  </autoFilter>
  <tableColumns count="2">
    <tableColumn id="1" name="Personal Real Estate" dataDxfId="214"/>
    <tableColumn id="2" name="Current Value"/>
  </tableColumns>
  <tableStyleInfo name="TableStyleMedium9 2 2 3" showFirstColumn="0" showLastColumn="0" showRowStripes="1" showColumnStripes="0"/>
</table>
</file>

<file path=xl/tables/table19.xml><?xml version="1.0" encoding="utf-8"?>
<table xmlns="http://schemas.openxmlformats.org/spreadsheetml/2006/main" id="24" name="PersProp" displayName="PersProp" ref="G19:H20" totalsRowShown="0">
  <autoFilter ref="G19:H20">
    <filterColumn colId="0" hiddenButton="1"/>
    <filterColumn colId="1" hiddenButton="1"/>
  </autoFilter>
  <tableColumns count="2">
    <tableColumn id="1" name="Personal Property"/>
    <tableColumn id="2" name="Current Value"/>
  </tableColumns>
  <tableStyleInfo name="TableStyleMedium9 2 2 3" showFirstColumn="0" showLastColumn="0" showRowStripes="1" showColumnStripes="0"/>
</table>
</file>

<file path=xl/tables/table20.xml><?xml version="1.0" encoding="utf-8"?>
<table xmlns="http://schemas.openxmlformats.org/spreadsheetml/2006/main" id="25" name="PersVehicle" displayName="PersVehicle" ref="G23:H24" totalsRowShown="0">
  <autoFilter ref="G23:H24">
    <filterColumn colId="0" hiddenButton="1"/>
    <filterColumn colId="1" hiddenButton="1"/>
  </autoFilter>
  <tableColumns count="2">
    <tableColumn id="1" name="Personal Vehicles"/>
    <tableColumn id="2" name="Current Value"/>
  </tableColumns>
  <tableStyleInfo name="TableStyleMedium9 2 2 3" showFirstColumn="0" showLastColumn="0" showRowStripes="1" showColumnStripes="0"/>
</table>
</file>

<file path=xl/tables/table21.xml><?xml version="1.0" encoding="utf-8"?>
<table xmlns="http://schemas.openxmlformats.org/spreadsheetml/2006/main" id="26" name="PersRetire" displayName="PersRetire" ref="G35:H36" totalsRowShown="0">
  <autoFilter ref="G35:H36">
    <filterColumn colId="0" hiddenButton="1"/>
    <filterColumn colId="1" hiddenButton="1"/>
  </autoFilter>
  <tableColumns count="2">
    <tableColumn id="1" name="Retirement Accounts" dataDxfId="213"/>
    <tableColumn id="2" name="Current Value"/>
  </tableColumns>
  <tableStyleInfo name="TableStyleMedium9 2 2 3" showFirstColumn="0" showLastColumn="0" showRowStripes="1" showColumnStripes="0"/>
</table>
</file>

<file path=xl/tables/table22.xml><?xml version="1.0" encoding="utf-8"?>
<table xmlns="http://schemas.openxmlformats.org/spreadsheetml/2006/main" id="27" name="PersOth" displayName="PersOth" ref="G39:H40" totalsRowShown="0">
  <autoFilter ref="G39:H40">
    <filterColumn colId="0" hiddenButton="1"/>
    <filterColumn colId="1" hiddenButton="1"/>
  </autoFilter>
  <tableColumns count="2">
    <tableColumn id="1" name="Other Personal Assets" dataDxfId="212"/>
    <tableColumn id="2" name="Current Value"/>
  </tableColumns>
  <tableStyleInfo name="TableStyleMedium9 2 2 3" showFirstColumn="0" showLastColumn="0" showRowStripes="1" showColumnStripes="0"/>
</table>
</file>

<file path=xl/tables/table23.xml><?xml version="1.0" encoding="utf-8"?>
<table xmlns="http://schemas.openxmlformats.org/spreadsheetml/2006/main" id="10" name="CLAP" displayName="CLAP" ref="A7:B8" totalsRowShown="0">
  <autoFilter ref="A7:B8">
    <filterColumn colId="0" hiddenButton="1"/>
    <filterColumn colId="1" hiddenButton="1"/>
  </autoFilter>
  <tableColumns count="2">
    <tableColumn id="1" name="Accounts Payable (processor,suppliers, etc.)" dataDxfId="211"/>
    <tableColumn id="2" name="Balance" dataDxfId="210" dataCellStyle="Currency"/>
  </tableColumns>
  <tableStyleInfo name="TableStyleMedium9 2 2 3" showFirstColumn="0" showLastColumn="0" showRowStripes="1" showColumnStripes="0"/>
</table>
</file>

<file path=xl/tables/table24.xml><?xml version="1.0" encoding="utf-8"?>
<table xmlns="http://schemas.openxmlformats.org/spreadsheetml/2006/main" id="22" name="CLBizCC" displayName="CLBizCC" ref="A11:B12" totalsRowShown="0">
  <autoFilter ref="A11:B12">
    <filterColumn colId="0" hiddenButton="1"/>
    <filterColumn colId="1" hiddenButton="1"/>
  </autoFilter>
  <tableColumns count="2">
    <tableColumn id="1" name="Business Credit Card Debt" dataDxfId="209"/>
    <tableColumn id="2" name="Balance" dataDxfId="208" dataCellStyle="Comma"/>
  </tableColumns>
  <tableStyleInfo name="TableStyleMedium9 2 2 3" showFirstColumn="0" showLastColumn="0" showRowStripes="1" showColumnStripes="0"/>
</table>
</file>

<file path=xl/tables/table25.xml><?xml version="1.0" encoding="utf-8"?>
<table xmlns="http://schemas.openxmlformats.org/spreadsheetml/2006/main" id="23" name="CLTaxes" displayName="CLTaxes" ref="A15:B16" totalsRowShown="0">
  <autoFilter ref="A15:B16">
    <filterColumn colId="0" hiddenButton="1"/>
    <filterColumn colId="1" hiddenButton="1"/>
  </autoFilter>
  <tableColumns count="2">
    <tableColumn id="1" name="Taxes &amp; Assessments Payable" dataDxfId="207"/>
    <tableColumn id="2" name="Balance" dataDxfId="206" dataCellStyle="Comma"/>
  </tableColumns>
  <tableStyleInfo name="TableStyleMedium9 2 2 3" showFirstColumn="0" showLastColumn="0" showRowStripes="1" showColumnStripes="0"/>
</table>
</file>

<file path=xl/tables/table26.xml><?xml version="1.0" encoding="utf-8"?>
<table xmlns="http://schemas.openxmlformats.org/spreadsheetml/2006/main" id="28" name="CLOthCur" displayName="CLOthCur" ref="A19:B20" totalsRowShown="0">
  <autoFilter ref="A19:B20">
    <filterColumn colId="0" hiddenButton="1"/>
    <filterColumn colId="1" hiddenButton="1"/>
  </autoFilter>
  <tableColumns count="2">
    <tableColumn id="1" name="Other Current Fishing Liabilities" dataDxfId="205"/>
    <tableColumn id="2" name="Balance" dataDxfId="204" dataCellStyle="Comma"/>
  </tableColumns>
  <tableStyleInfo name="TableStyleMedium9 2 2 3" showFirstColumn="0" showLastColumn="0" showRowStripes="1" showColumnStripes="0"/>
</table>
</file>

<file path=xl/tables/table27.xml><?xml version="1.0" encoding="utf-8"?>
<table xmlns="http://schemas.openxmlformats.org/spreadsheetml/2006/main" id="29" name="NCOthLiab" displayName="NCOthLiab" ref="A23:B24" totalsRowShown="0">
  <autoFilter ref="A23:B24">
    <filterColumn colId="0" hiddenButton="1"/>
    <filterColumn colId="1" hiddenButton="1"/>
  </autoFilter>
  <tableColumns count="2">
    <tableColumn id="1" name="Other Non-Current Fishing Liabilities" dataDxfId="203"/>
    <tableColumn id="2" name="Balance" dataDxfId="202" dataCellStyle="Comma"/>
  </tableColumns>
  <tableStyleInfo name="TableStyleMedium9 2 2 3" showFirstColumn="0" showLastColumn="0" showRowStripes="1" showColumnStripes="0"/>
</table>
</file>

<file path=xl/tables/table28.xml><?xml version="1.0" encoding="utf-8"?>
<table xmlns="http://schemas.openxmlformats.org/spreadsheetml/2006/main" id="30" name="PersLAP" displayName="PersLAP" ref="D7:E8" totalsRowShown="0">
  <autoFilter ref="D7:E8">
    <filterColumn colId="0" hiddenButton="1"/>
    <filterColumn colId="1" hiddenButton="1"/>
  </autoFilter>
  <tableColumns count="2">
    <tableColumn id="1" name="Personal Accounts Payable" dataDxfId="201"/>
    <tableColumn id="2" name="Balance" dataDxfId="200" dataCellStyle="Currency"/>
  </tableColumns>
  <tableStyleInfo name="TableStyleMedium9 2 2 3" showFirstColumn="0" showLastColumn="0" showRowStripes="1" showColumnStripes="0"/>
</table>
</file>

<file path=xl/tables/table29.xml><?xml version="1.0" encoding="utf-8"?>
<table xmlns="http://schemas.openxmlformats.org/spreadsheetml/2006/main" id="31" name="PersLCC" displayName="PersLCC" ref="D11:E12" totalsRowShown="0">
  <autoFilter ref="D11:E12">
    <filterColumn colId="0" hiddenButton="1"/>
    <filterColumn colId="1" hiddenButton="1"/>
  </autoFilter>
  <tableColumns count="2">
    <tableColumn id="1" name="Personal Credit Card Debt" dataDxfId="199"/>
    <tableColumn id="2" name="Balance" dataDxfId="198" dataCellStyle="Comma"/>
  </tableColumns>
  <tableStyleInfo name="TableStyleMedium9 2 2 3" showFirstColumn="0" showLastColumn="0" showRowStripes="1" showColumnStripes="0"/>
</table>
</file>

<file path=xl/tables/table30.xml><?xml version="1.0" encoding="utf-8"?>
<table xmlns="http://schemas.openxmlformats.org/spreadsheetml/2006/main" id="32" name="PersLTaxes" displayName="PersLTaxes" ref="D15:E16" totalsRowShown="0">
  <autoFilter ref="D15:E16">
    <filterColumn colId="0" hiddenButton="1"/>
    <filterColumn colId="1" hiddenButton="1"/>
  </autoFilter>
  <tableColumns count="2">
    <tableColumn id="1" name="Personal Taxes Payable" dataDxfId="197"/>
    <tableColumn id="2" name="Balance" dataDxfId="196" dataCellStyle="Comma"/>
  </tableColumns>
  <tableStyleInfo name="TableStyleMedium9 2 2 3" showFirstColumn="0" showLastColumn="0" showRowStripes="1" showColumnStripes="0"/>
</table>
</file>

<file path=xl/tables/table31.xml><?xml version="1.0" encoding="utf-8"?>
<table xmlns="http://schemas.openxmlformats.org/spreadsheetml/2006/main" id="33" name="PersLOth" displayName="PersLOth" ref="D19:E20" totalsRowShown="0">
  <autoFilter ref="D19:E20">
    <filterColumn colId="0" hiddenButton="1"/>
    <filterColumn colId="1" hiddenButton="1"/>
  </autoFilter>
  <tableColumns count="2">
    <tableColumn id="1" name="Other Personal Liabilities" dataDxfId="195"/>
    <tableColumn id="2" name="Balance" dataDxfId="194" dataCellStyle="Comma"/>
  </tableColumns>
  <tableStyleInfo name="TableStyleMedium9 2 2 3" showFirstColumn="0" showLastColumn="0" showRowStripes="1" showColumnStripes="0"/>
</table>
</file>

<file path=xl/tables/table32.xml><?xml version="1.0" encoding="utf-8"?>
<table xmlns="http://schemas.openxmlformats.org/spreadsheetml/2006/main" id="2" name="LoanVessel" displayName="LoanVessel" ref="B10:M12" headerRowDxfId="193" dataDxfId="192" totalsRowDxfId="191">
  <autoFilter ref="B10:M1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name="Lender" dataDxfId="190" totalsRowDxfId="189"/>
    <tableColumn id="2" name="Description" dataDxfId="188" totalsRowDxfId="187"/>
    <tableColumn id="3" name="Interest Rate" dataDxfId="186" totalsRowDxfId="185" dataCellStyle="Percent"/>
    <tableColumn id="4" name="Current Principal Bal" dataDxfId="184" totalsRowDxfId="183" dataCellStyle="Currency"/>
    <tableColumn id="5" name="First Year" dataDxfId="182" totalsRowDxfId="181"/>
    <tableColumn id="6" name="Years Left" dataDxfId="180" totalsRowDxfId="179"/>
    <tableColumn id="7" name="Payment Frequency" dataDxfId="178" totalsRowDxfId="177"/>
    <tableColumn id="8" name="Number Pmts" dataDxfId="176" totalsRowDxfId="175">
      <calculatedColumnFormula>IF(LoanVessel[[#This Row],[Payment Frequency]]&gt;0,LoanVessel[[#This Row],[Years Left]]*LoanVessel[[#This Row],['#Pmts]],"")</calculatedColumnFormula>
    </tableColumn>
    <tableColumn id="9" name="#Pmts" dataDxfId="174" totalsRowDxfId="173">
      <calculatedColumnFormula>IF(H11&gt;0,IF(H11="Monthly",12,IF(H11="Quarterly",4,IF(H11="Semi-Annual",2,1))),"")</calculatedColumnFormula>
    </tableColumn>
    <tableColumn id="10" name="Annual P&amp;I Payment" dataDxfId="172" totalsRowDxfId="171">
      <calculatedColumnFormula>IF(LoanVessel[[#This Row],[Payment Frequency]]&gt;0,PMT(LoanVessel[[#This Row],[Interest Rate]]/LoanVessel[[#This Row],['#Pmts]],LoanVessel[[#This Row],[Number Pmts]],LoanVessel[[#This Row],[Current Principal Bal]]*-1)*LoanVessel[[#This Row],['#Pmts]],"")</calculatedColumnFormula>
    </tableColumn>
    <tableColumn id="11" name="Prin Due in 12 Months" totalsRowFunction="custom" dataDxfId="170" totalsRowDxfId="169" dataCellStyle="Currency">
      <calculatedColumnFormula>IF(D11&gt;0,IF(LoanVessel[[#This Row],[Payment Frequency]]&lt;&gt;0,CUMPRINC(D11/J11,I11,E11,1,J11,0)*-1,),LoanVessel[[#This Row],[Annual P&amp;I Payment]])</calculatedColumnFormula>
      <totalsRowFormula>SUM(LoanVessel[Prin Due in 12 Months])</totalsRowFormula>
    </tableColumn>
    <tableColumn id="12" name="Remaining Balance" totalsRowFunction="custom" dataDxfId="168" totalsRowDxfId="167">
      <calculatedColumnFormula>IF(LoanVessel[[#This Row],[Payment Frequency]]&gt;0,LoanVessel[[#This Row],[Current Principal Bal]]-LoanVessel[[#This Row],[Prin Due in 12 Months]],"")</calculatedColumnFormula>
      <totalsRowFormula>SUM(LoanVessel[Remaining Balance])</totalsRowFormula>
    </tableColumn>
  </tableColumns>
  <tableStyleInfo name="TableStyleMedium9 2 2 3" showFirstColumn="0" showLastColumn="0" showRowStripes="1" showColumnStripes="0"/>
</table>
</file>

<file path=xl/tables/table33.xml><?xml version="1.0" encoding="utf-8"?>
<table xmlns="http://schemas.openxmlformats.org/spreadsheetml/2006/main" id="38" name="LoanPermit" displayName="LoanPermit" ref="B16:M18" headerRowDxfId="166" dataDxfId="165" totalsRowDxfId="164">
  <autoFilter ref="B16:M18">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name="Lender" dataDxfId="163" totalsRowDxfId="162"/>
    <tableColumn id="2" name="Description" dataDxfId="161" totalsRowDxfId="160"/>
    <tableColumn id="3" name="Interest Rate" dataDxfId="159" totalsRowDxfId="158" dataCellStyle="Percent"/>
    <tableColumn id="4" name="Current Principal Bal" dataDxfId="157" totalsRowDxfId="156" dataCellStyle="Currency"/>
    <tableColumn id="5" name="First Year" dataDxfId="155" totalsRowDxfId="154"/>
    <tableColumn id="6" name="Years Left" dataDxfId="153" totalsRowDxfId="152"/>
    <tableColumn id="7" name="Payment Frequency" dataDxfId="151" totalsRowDxfId="150"/>
    <tableColumn id="8" name="Number Pmts" dataDxfId="149" totalsRowDxfId="148">
      <calculatedColumnFormula>IF(LoanPermit[[#This Row],[Payment Frequency]]&gt;0,LoanPermit[[#This Row],[Years Left]]*LoanPermit[[#This Row],['#Pmts]],"")</calculatedColumnFormula>
    </tableColumn>
    <tableColumn id="9" name="#Pmts" dataDxfId="147" totalsRowDxfId="146">
      <calculatedColumnFormula>IF(H17&gt;0,IF(H17="Monthly",12,IF(H17="Quarterly",4,IF(H17="Semi-Annual",2,1))),"")</calculatedColumnFormula>
    </tableColumn>
    <tableColumn id="10" name="Annual P&amp;I Payment" dataDxfId="145" totalsRowDxfId="144">
      <calculatedColumnFormula>IF(LoanPermit[[#This Row],[Payment Frequency]]&gt;0,PMT(LoanPermit[[#This Row],[Interest Rate]]/LoanPermit[[#This Row],['#Pmts]],LoanPermit[[#This Row],[Number Pmts]],LoanPermit[[#This Row],[Current Principal Bal]]*-1)*LoanPermit[[#This Row],['#Pmts]],"")</calculatedColumnFormula>
    </tableColumn>
    <tableColumn id="11" name="Prin Due in 12 Months" totalsRowFunction="custom" dataDxfId="143" totalsRowDxfId="142" dataCellStyle="Currency">
      <calculatedColumnFormula>IF(D17&gt;0,IF(LoanPermit[[#This Row],[Payment Frequency]]&lt;&gt;0,CUMPRINC(D17/J17,I17,E17,1,J17,0)*-1,),LoanPermit[[#This Row],[Annual P&amp;I Payment]])</calculatedColumnFormula>
      <totalsRowFormula>SUM(LoanPermit[Prin Due in 12 Months])</totalsRowFormula>
    </tableColumn>
    <tableColumn id="12" name="Remaining Balance" totalsRowFunction="custom" dataDxfId="141" totalsRowDxfId="140">
      <calculatedColumnFormula>IF(LoanPermit[[#This Row],[Payment Frequency]]&gt;0,LoanPermit[[#This Row],[Current Principal Bal]]-LoanPermit[[#This Row],[Prin Due in 12 Months]],"")</calculatedColumnFormula>
      <totalsRowFormula>SUM(LoanPermit[Remaining Balance])</totalsRowFormula>
    </tableColumn>
  </tableColumns>
  <tableStyleInfo name="TableStyleMedium9 2 2 3" showFirstColumn="0" showLastColumn="0" showRowStripes="1" showColumnStripes="0"/>
</table>
</file>

<file path=xl/tables/table34.xml><?xml version="1.0" encoding="utf-8"?>
<table xmlns="http://schemas.openxmlformats.org/spreadsheetml/2006/main" id="39" name="LoanBVeh" displayName="LoanBVeh" ref="B22:M24" headerRowDxfId="139" dataDxfId="138" totalsRowDxfId="137">
  <autoFilter ref="B22:M2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name="Lender" dataDxfId="136" totalsRowDxfId="135"/>
    <tableColumn id="2" name="Description" dataDxfId="134" totalsRowDxfId="133"/>
    <tableColumn id="3" name="Interest Rate" dataDxfId="132" totalsRowDxfId="131" dataCellStyle="Percent"/>
    <tableColumn id="4" name="Current Principal Bal" dataDxfId="130" totalsRowDxfId="129" dataCellStyle="Currency"/>
    <tableColumn id="5" name="First Year" dataDxfId="128" totalsRowDxfId="127"/>
    <tableColumn id="6" name="Years Left" dataDxfId="126" totalsRowDxfId="125"/>
    <tableColumn id="7" name="Payment Frequency" dataDxfId="124" totalsRowDxfId="123"/>
    <tableColumn id="8" name="Number Pmts" dataDxfId="122" totalsRowDxfId="121">
      <calculatedColumnFormula>IF(LoanBVeh[[#This Row],[Payment Frequency]]&gt;0,LoanBVeh[[#This Row],[Years Left]]*LoanBVeh[[#This Row],['#Pmts]],"")</calculatedColumnFormula>
    </tableColumn>
    <tableColumn id="9" name="#Pmts" dataDxfId="120" totalsRowDxfId="119">
      <calculatedColumnFormula>IF(H23&gt;0,IF(H23="Monthly",12,IF(H23="Quarterly",4,IF(H23="Semi-Annual",2,1))),"")</calculatedColumnFormula>
    </tableColumn>
    <tableColumn id="10" name="Annual P&amp;I Payment" dataDxfId="118" totalsRowDxfId="117">
      <calculatedColumnFormula>IF(LoanBVeh[[#This Row],[Payment Frequency]]&gt;0,PMT(LoanBVeh[[#This Row],[Interest Rate]]/LoanBVeh[[#This Row],['#Pmts]],LoanBVeh[[#This Row],[Number Pmts]],LoanBVeh[[#This Row],[Current Principal Bal]]*-1)*LoanBVeh[[#This Row],['#Pmts]],"")</calculatedColumnFormula>
    </tableColumn>
    <tableColumn id="11" name="Prin Due in 12 Months" totalsRowFunction="custom" dataDxfId="116" totalsRowDxfId="115" dataCellStyle="Currency">
      <calculatedColumnFormula>IF(D23&gt;0,IF(LoanBVeh[[#This Row],[Payment Frequency]]&lt;&gt;0,CUMPRINC(D23/J23,I23,E23,1,J23,0)*-1,),LoanBVeh[[#This Row],[Annual P&amp;I Payment]])</calculatedColumnFormula>
      <totalsRowFormula>SUM(LoanBVeh[Prin Due in 12 Months])</totalsRowFormula>
    </tableColumn>
    <tableColumn id="12" name="Remaining Balance" totalsRowFunction="custom" dataDxfId="114" totalsRowDxfId="113">
      <calculatedColumnFormula>IF(LoanBVeh[[#This Row],[Payment Frequency]]&gt;0,LoanBVeh[[#This Row],[Current Principal Bal]]-LoanBVeh[[#This Row],[Prin Due in 12 Months]],"")</calculatedColumnFormula>
      <totalsRowFormula>SUM(LoanBVeh[Remaining Balance])</totalsRowFormula>
    </tableColumn>
  </tableColumns>
  <tableStyleInfo name="TableStyleMedium9 2 2 3" showFirstColumn="0" showLastColumn="0" showRowStripes="1" showColumnStripes="0"/>
</table>
</file>

<file path=xl/tables/table35.xml><?xml version="1.0" encoding="utf-8"?>
<table xmlns="http://schemas.openxmlformats.org/spreadsheetml/2006/main" id="40" name="LoanRE" displayName="LoanRE" ref="B28:M30" headerRowDxfId="112" dataDxfId="111" totalsRowDxfId="110">
  <autoFilter ref="B28:M3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name="Lender" dataDxfId="109" totalsRowDxfId="108"/>
    <tableColumn id="2" name="Description" dataDxfId="107" totalsRowDxfId="106"/>
    <tableColumn id="3" name="Interest Rate" dataDxfId="105" totalsRowDxfId="104" dataCellStyle="Percent"/>
    <tableColumn id="4" name="Current Principal Bal" dataDxfId="103" totalsRowDxfId="102" dataCellStyle="Currency"/>
    <tableColumn id="5" name="First Year" dataDxfId="101" totalsRowDxfId="100"/>
    <tableColumn id="6" name="Years Left" dataDxfId="99" totalsRowDxfId="98"/>
    <tableColumn id="7" name="Payment Frequency" dataDxfId="97" totalsRowDxfId="96"/>
    <tableColumn id="8" name="Number Pmts" dataDxfId="95" totalsRowDxfId="94">
      <calculatedColumnFormula>IF(LoanRE[[#This Row],[Payment Frequency]]&gt;0,LoanRE[[#This Row],[Years Left]]*LoanRE[[#This Row],['#Pmts]],"")</calculatedColumnFormula>
    </tableColumn>
    <tableColumn id="9" name="#Pmts" dataDxfId="93" totalsRowDxfId="92">
      <calculatedColumnFormula>IF(H29&gt;0,IF(H29="Monthly",12,IF(H29="Quarterly",4,IF(H29="Semi-Annual",2,1))),"")</calculatedColumnFormula>
    </tableColumn>
    <tableColumn id="10" name="Annual P&amp;I Payment" dataDxfId="91" totalsRowDxfId="90">
      <calculatedColumnFormula>IF(LoanRE[[#This Row],[Payment Frequency]]&gt;0,PMT(LoanRE[[#This Row],[Interest Rate]]/LoanRE[[#This Row],['#Pmts]],LoanRE[[#This Row],[Number Pmts]],LoanRE[[#This Row],[Current Principal Bal]]*-1)*LoanRE[[#This Row],['#Pmts]],"")</calculatedColumnFormula>
    </tableColumn>
    <tableColumn id="11" name="Prin Due in 12 Months" totalsRowFunction="custom" dataDxfId="89" totalsRowDxfId="88" dataCellStyle="Currency">
      <calculatedColumnFormula>IF(D29&gt;0,IF(LoanRE[[#This Row],[Payment Frequency]]&lt;&gt;0,CUMPRINC(D29/J29,I29,E29,1,J29,0)*-1,),LoanRE[[#This Row],[Annual P&amp;I Payment]])</calculatedColumnFormula>
      <totalsRowFormula>SUM(LoanRE[Prin Due in 12 Months])</totalsRowFormula>
    </tableColumn>
    <tableColumn id="12" name="Remaining Balance" totalsRowFunction="custom" dataDxfId="87" totalsRowDxfId="86">
      <calculatedColumnFormula>IF(LoanRE[[#This Row],[Payment Frequency]]&gt;0,LoanRE[[#This Row],[Current Principal Bal]]-LoanRE[[#This Row],[Prin Due in 12 Months]],"")</calculatedColumnFormula>
      <totalsRowFormula>SUM(LoanRE[Remaining Balance])</totalsRowFormula>
    </tableColumn>
  </tableColumns>
  <tableStyleInfo name="TableStyleMedium9 2 2 3" showFirstColumn="0" showLastColumn="0" showRowStripes="1" showColumnStripes="0"/>
</table>
</file>

<file path=xl/tables/table36.xml><?xml version="1.0" encoding="utf-8"?>
<table xmlns="http://schemas.openxmlformats.org/spreadsheetml/2006/main" id="41" name="LoanPers" displayName="LoanPers" ref="B34:M36" headerRowDxfId="85" dataDxfId="84" totalsRowDxfId="83">
  <autoFilter ref="B34:M3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name="Lender" dataDxfId="82" totalsRowDxfId="81"/>
    <tableColumn id="2" name="Description" dataDxfId="80" totalsRowDxfId="79"/>
    <tableColumn id="3" name="Interest Rate" dataDxfId="78" totalsRowDxfId="77" dataCellStyle="Percent"/>
    <tableColumn id="4" name="Current Principal Bal" dataDxfId="76" totalsRowDxfId="75" dataCellStyle="Currency"/>
    <tableColumn id="5" name="First Year" dataDxfId="74" totalsRowDxfId="73"/>
    <tableColumn id="6" name="Years Left" dataDxfId="72" totalsRowDxfId="71"/>
    <tableColumn id="7" name="Payment Frequency" dataDxfId="70" totalsRowDxfId="69"/>
    <tableColumn id="8" name="Number Pmts" dataDxfId="68" totalsRowDxfId="67">
      <calculatedColumnFormula>IF(LoanPers[[#This Row],[Payment Frequency]]&gt;0,LoanPers[[#This Row],[Years Left]]*LoanPers[[#This Row],['#Pmts]],"")</calculatedColumnFormula>
    </tableColumn>
    <tableColumn id="9" name="#Pmts" dataDxfId="66" totalsRowDxfId="65">
      <calculatedColumnFormula>IF(H35&gt;0,IF(H35="Monthly",12,IF(H35="Quarterly",4,IF(H35="Semi-Annual",2,1))),"")</calculatedColumnFormula>
    </tableColumn>
    <tableColumn id="10" name="Annual P&amp;I Payment" dataDxfId="64" totalsRowDxfId="63">
      <calculatedColumnFormula>IF(LoanPers[[#This Row],[Payment Frequency]]&gt;0,PMT(LoanPers[[#This Row],[Interest Rate]]/LoanPers[[#This Row],['#Pmts]],LoanPers[[#This Row],[Number Pmts]],LoanPers[[#This Row],[Current Principal Bal]]*-1)*LoanPers[[#This Row],['#Pmts]],"")</calculatedColumnFormula>
    </tableColumn>
    <tableColumn id="11" name="Prin Due in 12 Months" totalsRowFunction="custom" dataDxfId="62" totalsRowDxfId="61" dataCellStyle="Currency">
      <calculatedColumnFormula>IF(D35&gt;0,IF(LoanPers[[#This Row],[Payment Frequency]]&lt;&gt;0,CUMPRINC(D35/J35,I35,E35,1,J35,0)*-1,),LoanPers[[#This Row],[Annual P&amp;I Payment]])</calculatedColumnFormula>
      <totalsRowFormula>SUM(LoanPers[Prin Due in 12 Months])</totalsRowFormula>
    </tableColumn>
    <tableColumn id="12" name="Remaining Balance" totalsRowFunction="custom" dataDxfId="60" totalsRowDxfId="59">
      <calculatedColumnFormula>IF(LoanPers[[#This Row],[Payment Frequency]]&gt;0,LoanPers[[#This Row],[Current Principal Bal]]-LoanPers[[#This Row],[Prin Due in 12 Months]],"")</calculatedColumnFormula>
      <totalsRowFormula>SUM(LoanPers[Remaining Balance])</totalsRowFormula>
    </tableColumn>
  </tableColumns>
  <tableStyleInfo name="TableStyleMedium9 2 2 3" showFirstColumn="0" showLastColumn="0" showRowStripes="1" showColumnStripes="0"/>
</table>
</file>

<file path=xl/tables/table37.xml><?xml version="1.0" encoding="utf-8"?>
<table xmlns="http://schemas.openxmlformats.org/spreadsheetml/2006/main" id="42" name="LoanPersRE" displayName="LoanPersRE" ref="B40:M42" headerRowDxfId="58" dataDxfId="57" totalsRowDxfId="56">
  <autoFilter ref="B40:M4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name="Lender" dataDxfId="55" totalsRowDxfId="54"/>
    <tableColumn id="2" name="Description" dataDxfId="53" totalsRowDxfId="52"/>
    <tableColumn id="3" name="Interest Rate" dataDxfId="51" totalsRowDxfId="50" dataCellStyle="Percent"/>
    <tableColumn id="4" name="Current Principal Bal" dataDxfId="49" totalsRowDxfId="48" dataCellStyle="Currency"/>
    <tableColumn id="5" name="First Year" dataDxfId="47" totalsRowDxfId="46"/>
    <tableColumn id="6" name="Years Left" dataDxfId="45" totalsRowDxfId="44"/>
    <tableColumn id="7" name="Payment Frequency" dataDxfId="43" totalsRowDxfId="42"/>
    <tableColumn id="8" name="Number Pmts" dataDxfId="41" totalsRowDxfId="40">
      <calculatedColumnFormula>IF(LoanPersRE[[#This Row],[Payment Frequency]]&gt;0,LoanPersRE[[#This Row],[Years Left]]*LoanPersRE[[#This Row],['#Pmts]],"")</calculatedColumnFormula>
    </tableColumn>
    <tableColumn id="9" name="#Pmts" dataDxfId="39" totalsRowDxfId="38">
      <calculatedColumnFormula>IF(H41&gt;0,IF(H41="Monthly",12,IF(H41="Quarterly",4,IF(H41="Semi-Annual",2,1))),"")</calculatedColumnFormula>
    </tableColumn>
    <tableColumn id="10" name="Annual P&amp;I Payment" dataDxfId="37" totalsRowDxfId="36">
      <calculatedColumnFormula>IF(LoanPersRE[[#This Row],[Payment Frequency]]&gt;0,PMT(LoanPersRE[[#This Row],[Interest Rate]]/LoanPersRE[[#This Row],['#Pmts]],LoanPersRE[[#This Row],[Number Pmts]],LoanPersRE[[#This Row],[Current Principal Bal]]*-1)*LoanPersRE[[#This Row],['#Pmts]],"")</calculatedColumnFormula>
    </tableColumn>
    <tableColumn id="11" name="Prin Due in 12 Months" totalsRowFunction="custom" dataDxfId="35" totalsRowDxfId="34" dataCellStyle="Currency">
      <calculatedColumnFormula>IF(D41&gt;0,IF(LoanPersRE[[#This Row],[Payment Frequency]]&lt;&gt;0,CUMPRINC(D41/J41,I41,E41,1,J41,0)*-1,),LoanPersRE[[#This Row],[Annual P&amp;I Payment]])</calculatedColumnFormula>
      <totalsRowFormula>SUM(LoanPersRE[Prin Due in 12 Months])</totalsRowFormula>
    </tableColumn>
    <tableColumn id="12" name="Remaining Balance" totalsRowFunction="custom" dataDxfId="33" totalsRowDxfId="32">
      <calculatedColumnFormula>IF(LoanPersRE[[#This Row],[Payment Frequency]]&gt;0,LoanPersRE[[#This Row],[Current Principal Bal]]-LoanPersRE[[#This Row],[Prin Due in 12 Months]],"")</calculatedColumnFormula>
      <totalsRowFormula>SUM(LoanPersRE[Remaining Balance])</totalsRowFormula>
    </tableColumn>
  </tableColumns>
  <tableStyleInfo name="TableStyleMedium9 2 2 3" showFirstColumn="0" showLastColumn="0" showRowStripes="1" showColumnStripes="0"/>
</table>
</file>

<file path=xl/tables/table38.xml><?xml version="1.0" encoding="utf-8"?>
<table xmlns="http://schemas.openxmlformats.org/spreadsheetml/2006/main" id="35" name="LoansCurrent" displayName="LoansCurrent" ref="B4:M6" totalsRowShown="0" headerRowDxfId="31" dataDxfId="30">
  <autoFilter ref="B4:M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name="Lender" dataDxfId="29"/>
    <tableColumn id="2" name="Description" dataDxfId="28"/>
    <tableColumn id="3" name="Interest Rate" dataDxfId="27" dataCellStyle="Percent"/>
    <tableColumn id="4" name="Current Principal Bal" dataDxfId="26" dataCellStyle="Currency"/>
    <tableColumn id="5" name="Fish" dataDxfId="25"/>
    <tableColumn id="6" name="Direct MKT" dataDxfId="24"/>
    <tableColumn id="10" name="Annual Operating" dataDxfId="23" dataCellStyle="Currency"/>
    <tableColumn id="9" name="Column22" dataDxfId="22" dataCellStyle="Currency"/>
    <tableColumn id="7" name="Column3" dataDxfId="21"/>
    <tableColumn id="11" name="Month Borrowed" dataDxfId="20" dataCellStyle="Currency"/>
    <tableColumn id="12" name="Month Due" dataDxfId="19" dataCellStyle="Currency"/>
    <tableColumn id="8" name="Principal Balance" dataDxfId="18" dataCellStyle="Currency">
      <calculatedColumnFormula>IF(LoansCurrent[[#This Row],[Current Principal Bal]]&lt;&gt;0,LoansCurrent[[#This Row],[Current Principal Bal]],"")</calculatedColumnFormula>
    </tableColumn>
  </tableColumns>
  <tableStyleInfo name="TableStyleMedium9 2 2 3" showFirstColumn="0" showLastColumn="0" showRowStripes="1" showColumnStripes="0"/>
</table>
</file>

<file path=xl/tables/table39.xml><?xml version="1.0" encoding="utf-8"?>
<table xmlns="http://schemas.openxmlformats.org/spreadsheetml/2006/main" id="34" name="Table34" displayName="Table34" ref="A69:A123" totalsRowShown="0">
  <autoFilter ref="A69:A123"/>
  <tableColumns count="1">
    <tableColumn id="1" name="Do you want to examine direct marketing income &amp; costs?"/>
  </tableColumns>
  <tableStyleInfo showFirstColumn="0" showLastColumn="0" showRowStripes="0" showColumnStripes="0"/>
</table>
</file>

<file path=xl/tables/table40.xml><?xml version="1.0" encoding="utf-8"?>
<table xmlns="http://schemas.openxmlformats.org/spreadsheetml/2006/main" id="36" name="Table36" displayName="Table36" ref="A61:A109" totalsRowShown="0" headerRowDxfId="8" dataDxfId="7">
  <autoFilter ref="A61:A109">
    <filterColumn colId="0">
      <filters>
        <filter val="Include Direct Marketing Income &amp; Costs"/>
      </filters>
    </filterColumn>
  </autoFilter>
  <tableColumns count="1">
    <tableColumn id="1" name="Do you want to examine direct marketing income &amp; costs?" dataDxfId="6"/>
  </tableColumns>
  <tableStyleInfo showFirstColumn="0" showLastColumn="0" showRowStripes="0" showColumnStripes="0"/>
</table>
</file>

<file path=xl/tables/table41.xml><?xml version="1.0" encoding="utf-8"?>
<table xmlns="http://schemas.openxmlformats.org/spreadsheetml/2006/main" id="14" name="MarketingNew" displayName="MarketingNew" ref="A17:C20" totalsRowShown="0" headerRowDxfId="5" dataDxfId="4">
  <autoFilter ref="A17:C20"/>
  <tableColumns count="3">
    <tableColumn id="1" name="Marketing" dataDxfId="3"/>
    <tableColumn id="2" name="Column1" dataDxfId="2"/>
    <tableColumn id="3" name="Column2" dataDxfId="1">
      <calculatedColumnFormula>MarketingNew[[#This Row],[Marketing]]</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18" Type="http://schemas.openxmlformats.org/officeDocument/2006/relationships/table" Target="../tables/table16.xml"/><Relationship Id="rId3" Type="http://schemas.openxmlformats.org/officeDocument/2006/relationships/table" Target="../tables/table1.xml"/><Relationship Id="rId21" Type="http://schemas.openxmlformats.org/officeDocument/2006/relationships/table" Target="../tables/table19.xml"/><Relationship Id="rId7" Type="http://schemas.openxmlformats.org/officeDocument/2006/relationships/table" Target="../tables/table5.xml"/><Relationship Id="rId12" Type="http://schemas.openxmlformats.org/officeDocument/2006/relationships/table" Target="../tables/table10.xml"/><Relationship Id="rId17" Type="http://schemas.openxmlformats.org/officeDocument/2006/relationships/table" Target="../tables/table15.xml"/><Relationship Id="rId2" Type="http://schemas.openxmlformats.org/officeDocument/2006/relationships/drawing" Target="../drawings/drawing4.xml"/><Relationship Id="rId16" Type="http://schemas.openxmlformats.org/officeDocument/2006/relationships/table" Target="../tables/table14.xml"/><Relationship Id="rId20" Type="http://schemas.openxmlformats.org/officeDocument/2006/relationships/table" Target="../tables/table18.xml"/><Relationship Id="rId1" Type="http://schemas.openxmlformats.org/officeDocument/2006/relationships/printerSettings" Target="../printerSettings/printerSettings4.bin"/><Relationship Id="rId6" Type="http://schemas.openxmlformats.org/officeDocument/2006/relationships/table" Target="../tables/table4.xml"/><Relationship Id="rId11" Type="http://schemas.openxmlformats.org/officeDocument/2006/relationships/table" Target="../tables/table9.xml"/><Relationship Id="rId24" Type="http://schemas.openxmlformats.org/officeDocument/2006/relationships/table" Target="../tables/table22.xml"/><Relationship Id="rId5" Type="http://schemas.openxmlformats.org/officeDocument/2006/relationships/table" Target="../tables/table3.xml"/><Relationship Id="rId15" Type="http://schemas.openxmlformats.org/officeDocument/2006/relationships/table" Target="../tables/table13.xml"/><Relationship Id="rId23" Type="http://schemas.openxmlformats.org/officeDocument/2006/relationships/table" Target="../tables/table21.xml"/><Relationship Id="rId10" Type="http://schemas.openxmlformats.org/officeDocument/2006/relationships/table" Target="../tables/table8.xml"/><Relationship Id="rId19" Type="http://schemas.openxmlformats.org/officeDocument/2006/relationships/table" Target="../tables/table17.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 Id="rId22" Type="http://schemas.openxmlformats.org/officeDocument/2006/relationships/table" Target="../tables/table20.xml"/></Relationships>
</file>

<file path=xl/worksheets/_rels/sheet5.xml.rels><?xml version="1.0" encoding="UTF-8" standalone="yes"?>
<Relationships xmlns="http://schemas.openxmlformats.org/package/2006/relationships"><Relationship Id="rId8" Type="http://schemas.openxmlformats.org/officeDocument/2006/relationships/table" Target="../tables/table28.xml"/><Relationship Id="rId3" Type="http://schemas.openxmlformats.org/officeDocument/2006/relationships/table" Target="../tables/table23.xml"/><Relationship Id="rId7" Type="http://schemas.openxmlformats.org/officeDocument/2006/relationships/table" Target="../tables/table27.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table" Target="../tables/table26.xml"/><Relationship Id="rId11" Type="http://schemas.openxmlformats.org/officeDocument/2006/relationships/table" Target="../tables/table31.xml"/><Relationship Id="rId5" Type="http://schemas.openxmlformats.org/officeDocument/2006/relationships/table" Target="../tables/table25.xml"/><Relationship Id="rId10" Type="http://schemas.openxmlformats.org/officeDocument/2006/relationships/table" Target="../tables/table30.xml"/><Relationship Id="rId4" Type="http://schemas.openxmlformats.org/officeDocument/2006/relationships/table" Target="../tables/table24.xml"/><Relationship Id="rId9" Type="http://schemas.openxmlformats.org/officeDocument/2006/relationships/table" Target="../tables/table29.xml"/></Relationships>
</file>

<file path=xl/worksheets/_rels/sheet6.xml.rels><?xml version="1.0" encoding="UTF-8" standalone="yes"?>
<Relationships xmlns="http://schemas.openxmlformats.org/package/2006/relationships"><Relationship Id="rId8" Type="http://schemas.openxmlformats.org/officeDocument/2006/relationships/table" Target="../tables/table37.xml"/><Relationship Id="rId3" Type="http://schemas.openxmlformats.org/officeDocument/2006/relationships/table" Target="../tables/table32.xml"/><Relationship Id="rId7" Type="http://schemas.openxmlformats.org/officeDocument/2006/relationships/table" Target="../tables/table36.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table" Target="../tables/table35.xml"/><Relationship Id="rId5" Type="http://schemas.openxmlformats.org/officeDocument/2006/relationships/table" Target="../tables/table34.xml"/><Relationship Id="rId4" Type="http://schemas.openxmlformats.org/officeDocument/2006/relationships/table" Target="../tables/table33.xml"/><Relationship Id="rId9" Type="http://schemas.openxmlformats.org/officeDocument/2006/relationships/table" Target="../tables/table38.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learn.cffm.umn.edu/Module.aspx?v=1530" TargetMode="External"/><Relationship Id="rId5" Type="http://schemas.openxmlformats.org/officeDocument/2006/relationships/table" Target="../tables/table39.xml"/><Relationship Id="rId4"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3" Type="http://schemas.openxmlformats.org/officeDocument/2006/relationships/table" Target="../tables/table40.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41.x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rgb="FFF37321"/>
  </sheetPr>
  <dimension ref="A8:N30"/>
  <sheetViews>
    <sheetView showGridLines="0" tabSelected="1" topLeftCell="A2" zoomScaleNormal="100" workbookViewId="0">
      <selection activeCell="K10" sqref="K10"/>
    </sheetView>
  </sheetViews>
  <sheetFormatPr defaultRowHeight="12.75" x14ac:dyDescent="0.2"/>
  <cols>
    <col min="2" max="2" width="7.140625" customWidth="1"/>
    <col min="3" max="3" width="5.5703125" customWidth="1"/>
    <col min="5" max="5" width="6.7109375" customWidth="1"/>
    <col min="6" max="6" width="2.140625" customWidth="1"/>
    <col min="7" max="7" width="2" customWidth="1"/>
    <col min="8" max="8" width="1.28515625" customWidth="1"/>
    <col min="9" max="9" width="20.140625" customWidth="1"/>
    <col min="10" max="10" width="4.28515625" customWidth="1"/>
    <col min="11" max="11" width="31" customWidth="1"/>
    <col min="12" max="12" width="2.28515625" customWidth="1"/>
  </cols>
  <sheetData>
    <row r="8" spans="9:11" ht="15.75" x14ac:dyDescent="0.25">
      <c r="I8" s="70" t="s">
        <v>159</v>
      </c>
      <c r="K8" s="387">
        <f ca="1">TODAY()</f>
        <v>42421</v>
      </c>
    </row>
    <row r="9" spans="9:11" x14ac:dyDescent="0.2">
      <c r="K9" s="83"/>
    </row>
    <row r="10" spans="9:11" ht="15.75" x14ac:dyDescent="0.25">
      <c r="I10" s="69" t="s">
        <v>111</v>
      </c>
      <c r="K10" s="374"/>
    </row>
    <row r="11" spans="9:11" ht="15.75" x14ac:dyDescent="0.25">
      <c r="I11" s="70" t="s">
        <v>114</v>
      </c>
      <c r="K11" s="374"/>
    </row>
    <row r="12" spans="9:11" ht="15.75" x14ac:dyDescent="0.25">
      <c r="I12" s="70" t="s">
        <v>117</v>
      </c>
      <c r="K12" s="374"/>
    </row>
    <row r="13" spans="9:11" ht="15.75" x14ac:dyDescent="0.25">
      <c r="I13" s="70" t="s">
        <v>115</v>
      </c>
      <c r="K13" s="375"/>
    </row>
    <row r="14" spans="9:11" ht="15.75" x14ac:dyDescent="0.25">
      <c r="I14" s="70" t="s">
        <v>116</v>
      </c>
      <c r="K14" s="374"/>
    </row>
    <row r="15" spans="9:11" ht="15.75" x14ac:dyDescent="0.25">
      <c r="I15" s="70" t="s">
        <v>118</v>
      </c>
      <c r="K15" s="376"/>
    </row>
    <row r="16" spans="9:11" x14ac:dyDescent="0.2">
      <c r="I16" s="70"/>
      <c r="K16" s="342"/>
    </row>
    <row r="17" spans="1:14" ht="15.75" x14ac:dyDescent="0.25">
      <c r="I17" s="70" t="s">
        <v>254</v>
      </c>
      <c r="K17" s="377">
        <v>2015</v>
      </c>
    </row>
    <row r="18" spans="1:14" x14ac:dyDescent="0.2">
      <c r="I18" s="69"/>
    </row>
    <row r="19" spans="1:14" ht="26.25" customHeight="1" x14ac:dyDescent="0.25">
      <c r="I19" s="386" t="s">
        <v>112</v>
      </c>
      <c r="K19" s="377" t="str">
        <f>VLOOKUP(L19,MarketingNew[[Column1]:[Column2]],2)</f>
        <v>Both</v>
      </c>
      <c r="L19" s="384">
        <v>3</v>
      </c>
    </row>
    <row r="21" spans="1:14" ht="26.25" customHeight="1" x14ac:dyDescent="0.2">
      <c r="G21" s="569" t="s">
        <v>290</v>
      </c>
      <c r="H21" s="570"/>
      <c r="I21" s="570"/>
      <c r="J21" s="570"/>
      <c r="K21" s="378" t="str">
        <f>VLOOKUP(L21,Inputs!$B$24:$C$25,2)</f>
        <v>Monthly</v>
      </c>
      <c r="L21" s="385">
        <v>2</v>
      </c>
    </row>
    <row r="22" spans="1:14" x14ac:dyDescent="0.2">
      <c r="G22" s="571"/>
      <c r="H22" s="572"/>
      <c r="I22" s="572"/>
      <c r="J22" s="572"/>
      <c r="K22" s="283" t="str">
        <f>IF(ProjTime="Annual",HYPERLINK("#'P&amp;L-Annual Cash Flow'!c17","Go to Annual Cash Flow Plan"),HYPERLINK("#'Monthly Cash Flow'!e10","Go to Monthly Cash Flow Plan"))</f>
        <v>Go to Monthly Cash Flow Plan</v>
      </c>
    </row>
    <row r="23" spans="1:14" x14ac:dyDescent="0.2">
      <c r="K23" s="273"/>
      <c r="N23" s="272"/>
    </row>
    <row r="24" spans="1:14" ht="25.5" customHeight="1" x14ac:dyDescent="0.2">
      <c r="G24" s="569" t="s">
        <v>291</v>
      </c>
      <c r="H24" s="570"/>
      <c r="I24" s="570"/>
      <c r="J24" s="570"/>
      <c r="K24" s="379" t="str">
        <f>VLOOKUP(L24,Inputs!$G$6:$H$7,2)</f>
        <v>Both Business and Personal</v>
      </c>
      <c r="L24" s="384">
        <v>2</v>
      </c>
    </row>
    <row r="25" spans="1:14" x14ac:dyDescent="0.2">
      <c r="G25" s="571"/>
      <c r="H25" s="572"/>
      <c r="I25" s="572"/>
      <c r="J25" s="572"/>
      <c r="K25" s="283" t="str">
        <f>IF(ProjTime="Annual",HYPERLINK("#'P&amp;L-Annual Cash Flow'!C134","Go to personal details"),HYPERLINK("#'Monthly Cash Flow'!E112","Go to personal details"))</f>
        <v>Go to personal details</v>
      </c>
    </row>
    <row r="26" spans="1:14" x14ac:dyDescent="0.2">
      <c r="K26" s="271"/>
    </row>
    <row r="27" spans="1:14" x14ac:dyDescent="0.2">
      <c r="A27" s="708" t="s">
        <v>337</v>
      </c>
      <c r="B27" s="575"/>
      <c r="C27" s="575"/>
      <c r="D27" s="575"/>
      <c r="E27" s="575"/>
      <c r="F27" s="575"/>
      <c r="G27" s="575"/>
      <c r="H27" s="575"/>
      <c r="I27" s="575"/>
      <c r="J27" s="575"/>
      <c r="K27" s="575"/>
      <c r="L27" s="575"/>
      <c r="M27" s="575"/>
      <c r="N27" s="575"/>
    </row>
    <row r="28" spans="1:14" x14ac:dyDescent="0.2">
      <c r="A28" s="574" t="s">
        <v>319</v>
      </c>
      <c r="B28" s="574"/>
      <c r="C28" s="574"/>
      <c r="D28" s="574"/>
      <c r="E28" s="574"/>
      <c r="F28" s="574"/>
      <c r="G28" s="574"/>
      <c r="H28" s="574"/>
      <c r="I28" s="574"/>
      <c r="J28" s="574"/>
      <c r="K28" s="574"/>
      <c r="L28" s="574"/>
      <c r="M28" s="574"/>
      <c r="N28" s="574"/>
    </row>
    <row r="30" spans="1:14" ht="33" customHeight="1" x14ac:dyDescent="0.2">
      <c r="A30" s="573" t="s">
        <v>333</v>
      </c>
      <c r="B30" s="573"/>
      <c r="C30" s="573"/>
      <c r="D30" s="573"/>
      <c r="E30" s="573"/>
      <c r="F30" s="573"/>
      <c r="G30" s="573"/>
      <c r="H30" s="573"/>
      <c r="I30" s="573"/>
      <c r="J30" s="573"/>
      <c r="K30" s="573"/>
      <c r="L30" s="573"/>
      <c r="M30" s="573"/>
      <c r="N30" s="573"/>
    </row>
  </sheetData>
  <mergeCells count="5">
    <mergeCell ref="G21:J22"/>
    <mergeCell ref="G24:J25"/>
    <mergeCell ref="A30:N30"/>
    <mergeCell ref="A28:N28"/>
    <mergeCell ref="A27:N27"/>
  </mergeCells>
  <conditionalFormatting sqref="K25">
    <cfRule type="expression" dxfId="265" priority="1">
      <formula>$K$24="Just Business Income and Expenses"</formula>
    </cfRule>
  </conditionalFormatting>
  <pageMargins left="0.7" right="0.7" top="0.75" bottom="0.75" header="0.3" footer="0.3"/>
  <pageSetup orientation="landscape"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Drop Down 3">
              <controlPr locked="0" defaultSize="0" print="0" autoLine="0" autoPict="0">
                <anchor moveWithCells="1">
                  <from>
                    <xdr:col>10</xdr:col>
                    <xdr:colOff>0</xdr:colOff>
                    <xdr:row>18</xdr:row>
                    <xdr:rowOff>0</xdr:rowOff>
                  </from>
                  <to>
                    <xdr:col>11</xdr:col>
                    <xdr:colOff>19050</xdr:colOff>
                    <xdr:row>19</xdr:row>
                    <xdr:rowOff>9525</xdr:rowOff>
                  </to>
                </anchor>
              </controlPr>
            </control>
          </mc:Choice>
        </mc:AlternateContent>
        <mc:AlternateContent xmlns:mc="http://schemas.openxmlformats.org/markup-compatibility/2006">
          <mc:Choice Requires="x14">
            <control shapeId="1028" r:id="rId5" name="Drop Down 4">
              <controlPr locked="0" defaultSize="0" print="0" autoLine="0" autoPict="0">
                <anchor moveWithCells="1">
                  <from>
                    <xdr:col>10</xdr:col>
                    <xdr:colOff>9525</xdr:colOff>
                    <xdr:row>20</xdr:row>
                    <xdr:rowOff>9525</xdr:rowOff>
                  </from>
                  <to>
                    <xdr:col>10</xdr:col>
                    <xdr:colOff>2057400</xdr:colOff>
                    <xdr:row>21</xdr:row>
                    <xdr:rowOff>0</xdr:rowOff>
                  </to>
                </anchor>
              </controlPr>
            </control>
          </mc:Choice>
        </mc:AlternateContent>
        <mc:AlternateContent xmlns:mc="http://schemas.openxmlformats.org/markup-compatibility/2006">
          <mc:Choice Requires="x14">
            <control shapeId="1030" r:id="rId6" name="Drop Down 6">
              <controlPr locked="0" defaultSize="0" print="0" autoLine="0" autoPict="0">
                <anchor moveWithCells="1">
                  <from>
                    <xdr:col>9</xdr:col>
                    <xdr:colOff>257175</xdr:colOff>
                    <xdr:row>23</xdr:row>
                    <xdr:rowOff>0</xdr:rowOff>
                  </from>
                  <to>
                    <xdr:col>11</xdr:col>
                    <xdr:colOff>0</xdr:colOff>
                    <xdr:row>24</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B1B0"/>
  </sheetPr>
  <dimension ref="A1:K56"/>
  <sheetViews>
    <sheetView showGridLines="0" topLeftCell="A22" zoomScaleNormal="100" zoomScaleSheetLayoutView="100" workbookViewId="0">
      <selection activeCell="G47" sqref="G47"/>
    </sheetView>
  </sheetViews>
  <sheetFormatPr defaultRowHeight="12.75" x14ac:dyDescent="0.2"/>
  <cols>
    <col min="1" max="1" width="9.140625" style="176"/>
    <col min="2" max="2" width="32.42578125" style="176" bestFit="1" customWidth="1"/>
    <col min="3" max="3" width="12.85546875" style="176" bestFit="1" customWidth="1"/>
    <col min="4" max="4" width="12.7109375" style="176" customWidth="1"/>
    <col min="5" max="5" width="10.42578125" style="176" customWidth="1"/>
    <col min="6" max="6" width="11.28515625" style="176" customWidth="1"/>
    <col min="7" max="7" width="15.42578125" style="176" bestFit="1" customWidth="1"/>
    <col min="8" max="10" width="9.140625" style="176"/>
    <col min="11" max="11" width="5.7109375" style="176" customWidth="1"/>
    <col min="12" max="16384" width="9.140625" style="176"/>
  </cols>
  <sheetData>
    <row r="1" spans="2:11" x14ac:dyDescent="0.2">
      <c r="B1" s="579" t="s">
        <v>176</v>
      </c>
      <c r="C1" s="579"/>
    </row>
    <row r="2" spans="2:11" ht="15" x14ac:dyDescent="0.25">
      <c r="B2" s="579"/>
      <c r="C2" s="579"/>
      <c r="D2" s="252"/>
      <c r="E2" s="252"/>
      <c r="F2" s="252"/>
      <c r="G2" s="252"/>
    </row>
    <row r="3" spans="2:11" ht="14.25" x14ac:dyDescent="0.2">
      <c r="B3" s="579"/>
      <c r="C3" s="579"/>
      <c r="D3" s="578" t="str">
        <f>IF(Name&gt;"",Name,IF(BusName&gt;"",BusName,""))</f>
        <v/>
      </c>
      <c r="E3" s="578"/>
      <c r="F3" s="578"/>
      <c r="G3" s="578"/>
    </row>
    <row r="4" spans="2:11" ht="15" thickBot="1" x14ac:dyDescent="0.25">
      <c r="B4" s="579"/>
      <c r="C4" s="579"/>
      <c r="D4" s="576" t="s">
        <v>177</v>
      </c>
      <c r="E4" s="576"/>
      <c r="F4" s="577">
        <f ca="1">GenDate</f>
        <v>42421</v>
      </c>
      <c r="G4" s="577"/>
    </row>
    <row r="5" spans="2:11" ht="15.75" x14ac:dyDescent="0.25">
      <c r="B5" s="583" t="s">
        <v>306</v>
      </c>
      <c r="C5" s="584"/>
      <c r="D5" s="584" t="s">
        <v>307</v>
      </c>
      <c r="E5" s="584"/>
      <c r="F5" s="584"/>
      <c r="G5" s="585"/>
    </row>
    <row r="6" spans="2:11" ht="15" customHeight="1" x14ac:dyDescent="0.2">
      <c r="B6" s="588" t="s">
        <v>308</v>
      </c>
      <c r="C6" s="590" t="s">
        <v>161</v>
      </c>
      <c r="D6" s="616" t="s">
        <v>309</v>
      </c>
      <c r="E6" s="617"/>
      <c r="F6" s="617"/>
      <c r="G6" s="594" t="s">
        <v>166</v>
      </c>
      <c r="I6" s="599" t="s">
        <v>226</v>
      </c>
      <c r="J6" s="599"/>
      <c r="K6" s="599"/>
    </row>
    <row r="7" spans="2:11" ht="6" customHeight="1" x14ac:dyDescent="0.2">
      <c r="B7" s="589"/>
      <c r="C7" s="591"/>
      <c r="D7" s="618"/>
      <c r="E7" s="619"/>
      <c r="F7" s="619"/>
      <c r="G7" s="593"/>
      <c r="I7" s="599"/>
      <c r="J7" s="599"/>
      <c r="K7" s="599"/>
    </row>
    <row r="8" spans="2:11" x14ac:dyDescent="0.2">
      <c r="B8" s="217" t="s">
        <v>53</v>
      </c>
      <c r="C8" s="177">
        <f>'Bal Sheet Entry'!D7</f>
        <v>0</v>
      </c>
      <c r="D8" s="178" t="s">
        <v>56</v>
      </c>
      <c r="E8" s="179"/>
      <c r="F8" s="179"/>
      <c r="G8" s="218">
        <f>IF('Bal Sheet Entry'!D26&lt;&gt;0,'Bal Sheet Entry'!D26,)</f>
        <v>0</v>
      </c>
      <c r="I8" s="599"/>
      <c r="J8" s="599"/>
      <c r="K8" s="599"/>
    </row>
    <row r="9" spans="2:11" x14ac:dyDescent="0.2">
      <c r="B9" s="217" t="s">
        <v>5</v>
      </c>
      <c r="C9" s="180">
        <f>'Bal Sheet Entry'!D8</f>
        <v>0</v>
      </c>
      <c r="D9" s="178" t="s">
        <v>36</v>
      </c>
      <c r="E9" s="179"/>
      <c r="F9" s="179"/>
      <c r="G9" s="219">
        <f>IF('Bal Sheet Entry'!D27&lt;&gt;0,'Bal Sheet Entry'!D27,)</f>
        <v>0</v>
      </c>
      <c r="I9" s="599"/>
      <c r="J9" s="599"/>
      <c r="K9" s="599"/>
    </row>
    <row r="10" spans="2:11" x14ac:dyDescent="0.2">
      <c r="B10" s="217" t="s">
        <v>50</v>
      </c>
      <c r="C10" s="180">
        <f>'Bal Sheet Entry'!D9</f>
        <v>0</v>
      </c>
      <c r="D10" s="178" t="s">
        <v>55</v>
      </c>
      <c r="E10" s="179"/>
      <c r="F10" s="179"/>
      <c r="G10" s="219">
        <f>IF('Bal Sheet Entry'!D28&lt;&gt;0,'Bal Sheet Entry'!D28,)</f>
        <v>0</v>
      </c>
      <c r="I10" s="599"/>
      <c r="J10" s="599"/>
      <c r="K10" s="599"/>
    </row>
    <row r="11" spans="2:11" x14ac:dyDescent="0.2">
      <c r="B11" s="217" t="s">
        <v>52</v>
      </c>
      <c r="C11" s="180">
        <f>'Bal Sheet Entry'!D10</f>
        <v>0</v>
      </c>
      <c r="D11" s="178" t="s">
        <v>57</v>
      </c>
      <c r="E11" s="179"/>
      <c r="F11" s="179"/>
      <c r="G11" s="219">
        <f>IF('Bal Sheet Entry'!D29&lt;&gt;0,'Bal Sheet Entry'!D29,)</f>
        <v>0</v>
      </c>
    </row>
    <row r="12" spans="2:11" x14ac:dyDescent="0.2">
      <c r="B12" s="217" t="s">
        <v>51</v>
      </c>
      <c r="C12" s="180">
        <f>'Bal Sheet Entry'!D11</f>
        <v>0</v>
      </c>
      <c r="D12" s="178" t="s">
        <v>58</v>
      </c>
      <c r="E12" s="179"/>
      <c r="F12" s="179"/>
      <c r="G12" s="219">
        <f>IF('Bal Sheet Entry'!D30&lt;&gt;0,'Bal Sheet Entry'!D30,)</f>
        <v>0</v>
      </c>
    </row>
    <row r="13" spans="2:11" x14ac:dyDescent="0.2">
      <c r="B13" s="217" t="s">
        <v>1</v>
      </c>
      <c r="C13" s="180">
        <f>'Bal Sheet Entry'!D12</f>
        <v>0</v>
      </c>
      <c r="D13" s="178" t="s">
        <v>1</v>
      </c>
      <c r="E13" s="179"/>
      <c r="F13" s="179"/>
      <c r="G13" s="219">
        <f>IF('Bal Sheet Entry'!D31&lt;&gt;0,'Bal Sheet Entry'!D31,)</f>
        <v>0</v>
      </c>
    </row>
    <row r="14" spans="2:11" x14ac:dyDescent="0.2">
      <c r="B14" s="220" t="s">
        <v>312</v>
      </c>
      <c r="C14" s="181">
        <f>SUM(C8:C13)</f>
        <v>0</v>
      </c>
      <c r="D14" s="581" t="s">
        <v>313</v>
      </c>
      <c r="E14" s="582"/>
      <c r="F14" s="582"/>
      <c r="G14" s="221">
        <f>SUM(G8:G13)</f>
        <v>0</v>
      </c>
    </row>
    <row r="15" spans="2:11" ht="15" customHeight="1" x14ac:dyDescent="0.2">
      <c r="B15" s="592" t="s">
        <v>311</v>
      </c>
      <c r="C15" s="591" t="s">
        <v>162</v>
      </c>
      <c r="D15" s="618" t="s">
        <v>310</v>
      </c>
      <c r="E15" s="619"/>
      <c r="F15" s="619"/>
      <c r="G15" s="593" t="s">
        <v>166</v>
      </c>
    </row>
    <row r="16" spans="2:11" ht="6" customHeight="1" x14ac:dyDescent="0.2">
      <c r="B16" s="592"/>
      <c r="C16" s="591"/>
      <c r="D16" s="618"/>
      <c r="E16" s="619"/>
      <c r="F16" s="619"/>
      <c r="G16" s="593"/>
    </row>
    <row r="17" spans="2:7" x14ac:dyDescent="0.2">
      <c r="B17" s="222" t="s">
        <v>54</v>
      </c>
      <c r="C17" s="182">
        <f>'Bal Sheet Entry'!D15</f>
        <v>0</v>
      </c>
      <c r="D17" s="178" t="s">
        <v>10</v>
      </c>
      <c r="E17" s="179"/>
      <c r="F17" s="179"/>
      <c r="G17" s="218">
        <f>IF('Bal Sheet Entry'!D34&lt;&gt;0,'Bal Sheet Entry'!D34,)</f>
        <v>0</v>
      </c>
    </row>
    <row r="18" spans="2:7" x14ac:dyDescent="0.2">
      <c r="B18" s="222" t="s">
        <v>4</v>
      </c>
      <c r="C18" s="180">
        <f>'Bal Sheet Entry'!D16</f>
        <v>0</v>
      </c>
      <c r="D18" s="178" t="s">
        <v>59</v>
      </c>
      <c r="E18" s="179"/>
      <c r="F18" s="179"/>
      <c r="G18" s="219">
        <f>IF('Bal Sheet Entry'!D35&lt;&gt;0,'Bal Sheet Entry'!D35,)</f>
        <v>0</v>
      </c>
    </row>
    <row r="19" spans="2:7" x14ac:dyDescent="0.2">
      <c r="B19" s="222" t="s">
        <v>35</v>
      </c>
      <c r="C19" s="180">
        <f>'Bal Sheet Entry'!D17</f>
        <v>0</v>
      </c>
      <c r="D19" s="178" t="s">
        <v>37</v>
      </c>
      <c r="E19" s="179"/>
      <c r="F19" s="179"/>
      <c r="G19" s="219">
        <f>IF('Bal Sheet Entry'!D36&lt;&gt;0,'Bal Sheet Entry'!D36,)</f>
        <v>0</v>
      </c>
    </row>
    <row r="20" spans="2:7" x14ac:dyDescent="0.2">
      <c r="B20" s="222" t="s">
        <v>49</v>
      </c>
      <c r="C20" s="180">
        <f>'Bal Sheet Entry'!D18</f>
        <v>0</v>
      </c>
      <c r="D20" s="178" t="s">
        <v>60</v>
      </c>
      <c r="E20" s="179"/>
      <c r="F20" s="179"/>
      <c r="G20" s="219">
        <f>IF('Bal Sheet Entry'!D37&lt;&gt;0,'Bal Sheet Entry'!D37,)</f>
        <v>0</v>
      </c>
    </row>
    <row r="21" spans="2:7" x14ac:dyDescent="0.2">
      <c r="B21" s="223" t="s">
        <v>165</v>
      </c>
      <c r="C21" s="180">
        <f>'Bal Sheet Entry'!D19</f>
        <v>0</v>
      </c>
      <c r="D21" s="178" t="s">
        <v>1</v>
      </c>
      <c r="E21" s="179"/>
      <c r="F21" s="179"/>
      <c r="G21" s="219">
        <f>IF('Bal Sheet Entry'!D38&lt;&gt;0,'Bal Sheet Entry'!D38,)</f>
        <v>0</v>
      </c>
    </row>
    <row r="22" spans="2:7" x14ac:dyDescent="0.2">
      <c r="B22" s="222" t="s">
        <v>6</v>
      </c>
      <c r="C22" s="180">
        <f>'Bal Sheet Entry'!D20</f>
        <v>0</v>
      </c>
      <c r="D22" s="183"/>
      <c r="E22" s="179"/>
      <c r="F22" s="179"/>
      <c r="G22" s="224"/>
    </row>
    <row r="23" spans="2:7" x14ac:dyDescent="0.2">
      <c r="B23" s="222" t="s">
        <v>1</v>
      </c>
      <c r="C23" s="180">
        <f>'Bal Sheet Entry'!D21</f>
        <v>0</v>
      </c>
      <c r="D23" s="183"/>
      <c r="E23" s="179"/>
      <c r="F23" s="179"/>
      <c r="G23" s="224"/>
    </row>
    <row r="24" spans="2:7" x14ac:dyDescent="0.2">
      <c r="B24" s="225" t="s">
        <v>315</v>
      </c>
      <c r="C24" s="184">
        <f>SUM(C17:C23)</f>
        <v>0</v>
      </c>
      <c r="D24" s="581" t="s">
        <v>314</v>
      </c>
      <c r="E24" s="582"/>
      <c r="F24" s="582"/>
      <c r="G24" s="221">
        <f>SUM(G17:G21)</f>
        <v>0</v>
      </c>
    </row>
    <row r="25" spans="2:7" ht="6" customHeight="1" x14ac:dyDescent="0.2">
      <c r="B25" s="626" t="s">
        <v>316</v>
      </c>
      <c r="C25" s="621"/>
      <c r="D25" s="620" t="s">
        <v>317</v>
      </c>
      <c r="E25" s="621"/>
      <c r="F25" s="621"/>
      <c r="G25" s="622"/>
    </row>
    <row r="26" spans="2:7" ht="15" customHeight="1" x14ac:dyDescent="0.2">
      <c r="B26" s="627"/>
      <c r="C26" s="624"/>
      <c r="D26" s="623"/>
      <c r="E26" s="624"/>
      <c r="F26" s="624"/>
      <c r="G26" s="625"/>
    </row>
    <row r="27" spans="2:7" x14ac:dyDescent="0.2">
      <c r="B27" s="217" t="s">
        <v>312</v>
      </c>
      <c r="C27" s="185">
        <f>C14</f>
        <v>0</v>
      </c>
      <c r="D27" s="586" t="s">
        <v>313</v>
      </c>
      <c r="E27" s="587"/>
      <c r="F27" s="587"/>
      <c r="G27" s="224">
        <f>G14</f>
        <v>0</v>
      </c>
    </row>
    <row r="28" spans="2:7" ht="15" x14ac:dyDescent="0.35">
      <c r="B28" s="226" t="s">
        <v>315</v>
      </c>
      <c r="C28" s="186">
        <f>C24</f>
        <v>0</v>
      </c>
      <c r="D28" s="628" t="s">
        <v>314</v>
      </c>
      <c r="E28" s="629"/>
      <c r="F28" s="629"/>
      <c r="G28" s="227">
        <f>G24</f>
        <v>0</v>
      </c>
    </row>
    <row r="29" spans="2:7" ht="15" x14ac:dyDescent="0.25">
      <c r="B29" s="228" t="s">
        <v>316</v>
      </c>
      <c r="C29" s="187">
        <f>C27+C28</f>
        <v>0</v>
      </c>
      <c r="D29" s="630" t="s">
        <v>317</v>
      </c>
      <c r="E29" s="631"/>
      <c r="F29" s="631"/>
      <c r="G29" s="229">
        <f>G27+G28</f>
        <v>0</v>
      </c>
    </row>
    <row r="30" spans="2:7" ht="6" customHeight="1" x14ac:dyDescent="0.25">
      <c r="B30" s="641" t="s">
        <v>63</v>
      </c>
      <c r="C30" s="642"/>
      <c r="D30" s="188"/>
      <c r="E30" s="632"/>
      <c r="F30" s="632"/>
      <c r="G30" s="633"/>
    </row>
    <row r="31" spans="2:7" ht="15.75" customHeight="1" x14ac:dyDescent="0.25">
      <c r="B31" s="643"/>
      <c r="C31" s="644"/>
      <c r="D31" s="189"/>
      <c r="E31" s="634"/>
      <c r="F31" s="634"/>
      <c r="G31" s="635"/>
    </row>
    <row r="32" spans="2:7" x14ac:dyDescent="0.2">
      <c r="B32" s="638" t="s">
        <v>316</v>
      </c>
      <c r="C32" s="587"/>
      <c r="D32" s="640">
        <f>C29</f>
        <v>0</v>
      </c>
      <c r="E32" s="640"/>
      <c r="F32" s="190"/>
      <c r="G32" s="230"/>
    </row>
    <row r="33" spans="1:8" x14ac:dyDescent="0.2">
      <c r="B33" s="636" t="s">
        <v>318</v>
      </c>
      <c r="C33" s="637"/>
      <c r="D33" s="639">
        <f>G29</f>
        <v>0</v>
      </c>
      <c r="E33" s="639"/>
      <c r="F33" s="190"/>
      <c r="G33" s="230"/>
    </row>
    <row r="34" spans="1:8" ht="16.5" thickBot="1" x14ac:dyDescent="0.3">
      <c r="B34" s="643" t="s">
        <v>63</v>
      </c>
      <c r="C34" s="644"/>
      <c r="D34" s="652">
        <f>D32-D33</f>
        <v>0</v>
      </c>
      <c r="E34" s="652"/>
      <c r="F34" s="179"/>
      <c r="G34" s="230"/>
    </row>
    <row r="35" spans="1:8" ht="6" customHeight="1" x14ac:dyDescent="0.2">
      <c r="A35" s="230"/>
      <c r="B35" s="646" t="s">
        <v>169</v>
      </c>
      <c r="C35" s="647"/>
      <c r="D35" s="647"/>
      <c r="E35" s="647"/>
      <c r="F35" s="647"/>
      <c r="G35" s="648"/>
    </row>
    <row r="36" spans="1:8" ht="15" customHeight="1" x14ac:dyDescent="0.2">
      <c r="A36" s="230"/>
      <c r="B36" s="649"/>
      <c r="C36" s="650"/>
      <c r="D36" s="650"/>
      <c r="E36" s="650"/>
      <c r="F36" s="650"/>
      <c r="G36" s="651"/>
      <c r="H36" s="179"/>
    </row>
    <row r="37" spans="1:8" x14ac:dyDescent="0.2">
      <c r="A37" s="230"/>
      <c r="B37" s="251" t="s">
        <v>170</v>
      </c>
      <c r="C37" s="191">
        <f>IF(G14&gt;0,C14/G14,0)</f>
        <v>0</v>
      </c>
      <c r="D37" s="587" t="s">
        <v>172</v>
      </c>
      <c r="E37" s="587"/>
      <c r="F37" s="192">
        <f>IF(C29&lt;&gt;0,G29/C29,0)</f>
        <v>0</v>
      </c>
      <c r="G37" s="230"/>
      <c r="H37" s="255"/>
    </row>
    <row r="38" spans="1:8" ht="13.5" thickBot="1" x14ac:dyDescent="0.25">
      <c r="A38" s="230"/>
      <c r="B38" s="250" t="s">
        <v>171</v>
      </c>
      <c r="C38" s="256">
        <f>C27-G27</f>
        <v>0</v>
      </c>
      <c r="D38" s="645" t="s">
        <v>173</v>
      </c>
      <c r="E38" s="645"/>
      <c r="F38" s="231">
        <f>IF(D34&lt;&gt;0,D33/D34,0)</f>
        <v>0</v>
      </c>
      <c r="G38" s="233"/>
      <c r="H38" s="255"/>
    </row>
    <row r="39" spans="1:8" ht="6" customHeight="1" x14ac:dyDescent="0.2">
      <c r="B39" s="595" t="s">
        <v>168</v>
      </c>
      <c r="C39" s="596"/>
      <c r="D39" s="597" t="s">
        <v>70</v>
      </c>
      <c r="E39" s="596"/>
      <c r="F39" s="596"/>
      <c r="G39" s="598"/>
    </row>
    <row r="40" spans="1:8" ht="15.75" customHeight="1" x14ac:dyDescent="0.2">
      <c r="B40" s="595"/>
      <c r="C40" s="596"/>
      <c r="D40" s="597"/>
      <c r="E40" s="596"/>
      <c r="F40" s="596"/>
      <c r="G40" s="598"/>
    </row>
    <row r="41" spans="1:8" x14ac:dyDescent="0.2">
      <c r="B41" s="217" t="s">
        <v>65</v>
      </c>
      <c r="C41" s="193">
        <f>IF('Bal Sheet Entry'!D54&lt;&gt;0,'Bal Sheet Entry'!D54,)</f>
        <v>0</v>
      </c>
      <c r="D41" s="606" t="s">
        <v>71</v>
      </c>
      <c r="E41" s="607"/>
      <c r="F41" s="607"/>
      <c r="G41" s="234">
        <f>IF('Bal Sheet Entry'!D66&lt;&gt;0,'Bal Sheet Entry'!D66,)</f>
        <v>0</v>
      </c>
    </row>
    <row r="42" spans="1:8" x14ac:dyDescent="0.2">
      <c r="B42" s="217" t="s">
        <v>68</v>
      </c>
      <c r="C42" s="194">
        <f>IF('Bal Sheet Entry'!D55&lt;&gt;0,'Bal Sheet Entry'!D55,)</f>
        <v>0</v>
      </c>
      <c r="D42" s="613" t="s">
        <v>72</v>
      </c>
      <c r="E42" s="614"/>
      <c r="F42" s="614"/>
      <c r="G42" s="235">
        <f>IF('Bal Sheet Entry'!D67&lt;&gt;0,'Bal Sheet Entry'!D67,)</f>
        <v>0</v>
      </c>
    </row>
    <row r="43" spans="1:8" x14ac:dyDescent="0.2">
      <c r="B43" s="217" t="s">
        <v>66</v>
      </c>
      <c r="C43" s="194">
        <f>IF('Bal Sheet Entry'!D56&lt;&gt;0,'Bal Sheet Entry'!D56,)</f>
        <v>0</v>
      </c>
      <c r="D43" s="613" t="s">
        <v>73</v>
      </c>
      <c r="E43" s="614"/>
      <c r="F43" s="614"/>
      <c r="G43" s="235">
        <f>IF('Bal Sheet Entry'!D68&lt;&gt;0,'Bal Sheet Entry'!D68,)</f>
        <v>0</v>
      </c>
    </row>
    <row r="44" spans="1:8" x14ac:dyDescent="0.2">
      <c r="B44" s="217" t="s">
        <v>69</v>
      </c>
      <c r="C44" s="194">
        <f>IF('Bal Sheet Entry'!D57&lt;&gt;0,'Bal Sheet Entry'!D57,)</f>
        <v>0</v>
      </c>
      <c r="D44" s="613" t="s">
        <v>74</v>
      </c>
      <c r="E44" s="614"/>
      <c r="F44" s="614"/>
      <c r="G44" s="235">
        <f>IF('Bal Sheet Entry'!D69&lt;&gt;0,'Bal Sheet Entry'!D69,)</f>
        <v>0</v>
      </c>
    </row>
    <row r="45" spans="1:8" x14ac:dyDescent="0.2">
      <c r="B45" s="217" t="s">
        <v>41</v>
      </c>
      <c r="C45" s="194">
        <f>IF('Bal Sheet Entry'!D58&lt;&gt;0,'Bal Sheet Entry'!D58,)</f>
        <v>0</v>
      </c>
      <c r="D45" s="613" t="s">
        <v>75</v>
      </c>
      <c r="E45" s="614"/>
      <c r="F45" s="614"/>
      <c r="G45" s="235">
        <f>IF('Bal Sheet Entry'!D70&lt;&gt;0,'Bal Sheet Entry'!D70,)</f>
        <v>0</v>
      </c>
    </row>
    <row r="46" spans="1:8" x14ac:dyDescent="0.2">
      <c r="B46" s="217" t="s">
        <v>8</v>
      </c>
      <c r="C46" s="194">
        <f>IF('Bal Sheet Entry'!D59&lt;&gt;0,'Bal Sheet Entry'!D59,)</f>
        <v>0</v>
      </c>
      <c r="D46" s="613" t="s">
        <v>1</v>
      </c>
      <c r="E46" s="614"/>
      <c r="F46" s="614"/>
      <c r="G46" s="235">
        <f>IF('Bal Sheet Entry'!D71&lt;&gt;0,'Bal Sheet Entry'!D71,)</f>
        <v>0</v>
      </c>
    </row>
    <row r="47" spans="1:8" x14ac:dyDescent="0.2">
      <c r="B47" s="217" t="s">
        <v>67</v>
      </c>
      <c r="C47" s="194">
        <f>IF('Bal Sheet Entry'!D60&lt;&gt;0,'Bal Sheet Entry'!D60,)</f>
        <v>0</v>
      </c>
      <c r="D47" s="608" t="s">
        <v>77</v>
      </c>
      <c r="E47" s="609"/>
      <c r="F47" s="609"/>
      <c r="G47" s="236">
        <f>SUM(G41:G46)</f>
        <v>0</v>
      </c>
    </row>
    <row r="48" spans="1:8" x14ac:dyDescent="0.2">
      <c r="B48" s="217" t="s">
        <v>40</v>
      </c>
      <c r="C48" s="194">
        <f>IF('Bal Sheet Entry'!D61&lt;&gt;0,'Bal Sheet Entry'!D61,)</f>
        <v>0</v>
      </c>
      <c r="D48" s="183"/>
      <c r="E48" s="179"/>
      <c r="F48" s="179"/>
      <c r="G48" s="237"/>
    </row>
    <row r="49" spans="2:7" x14ac:dyDescent="0.2">
      <c r="B49" s="217" t="s">
        <v>1</v>
      </c>
      <c r="C49" s="194">
        <f>IF('Bal Sheet Entry'!D62&lt;&gt;0,'Bal Sheet Entry'!D62,)</f>
        <v>0</v>
      </c>
      <c r="D49" s="183"/>
      <c r="E49" s="179"/>
      <c r="F49" s="179"/>
      <c r="G49" s="237"/>
    </row>
    <row r="50" spans="2:7" ht="15" x14ac:dyDescent="0.25">
      <c r="B50" s="220" t="s">
        <v>76</v>
      </c>
      <c r="C50" s="195">
        <f>SUM(C41:C49)</f>
        <v>0</v>
      </c>
      <c r="D50" s="610" t="s">
        <v>78</v>
      </c>
      <c r="E50" s="611"/>
      <c r="F50" s="611"/>
      <c r="G50" s="238">
        <f>C50-G47</f>
        <v>0</v>
      </c>
    </row>
    <row r="51" spans="2:7" ht="6" customHeight="1" x14ac:dyDescent="0.2">
      <c r="B51" s="239"/>
      <c r="C51" s="196"/>
      <c r="D51" s="196"/>
      <c r="E51" s="196"/>
      <c r="F51" s="196"/>
      <c r="G51" s="240"/>
    </row>
    <row r="52" spans="2:7" x14ac:dyDescent="0.2">
      <c r="B52" s="241" t="s">
        <v>38</v>
      </c>
      <c r="C52" s="197">
        <f>E32</f>
        <v>0</v>
      </c>
      <c r="D52" s="587" t="s">
        <v>39</v>
      </c>
      <c r="E52" s="612"/>
      <c r="F52" s="612"/>
      <c r="G52" s="218">
        <f>E33</f>
        <v>0</v>
      </c>
    </row>
    <row r="53" spans="2:7" x14ac:dyDescent="0.2">
      <c r="B53" s="242" t="s">
        <v>76</v>
      </c>
      <c r="C53" s="198">
        <f>C50</f>
        <v>0</v>
      </c>
      <c r="D53" s="580" t="s">
        <v>77</v>
      </c>
      <c r="E53" s="580"/>
      <c r="F53" s="580"/>
      <c r="G53" s="243">
        <f>G47</f>
        <v>0</v>
      </c>
    </row>
    <row r="54" spans="2:7" x14ac:dyDescent="0.2">
      <c r="B54" s="244" t="s">
        <v>174</v>
      </c>
      <c r="C54" s="199">
        <f>SUM(C52:C53)</f>
        <v>0</v>
      </c>
      <c r="D54" s="615" t="s">
        <v>175</v>
      </c>
      <c r="E54" s="615"/>
      <c r="F54" s="615"/>
      <c r="G54" s="245">
        <f>SUM(G52:G53)</f>
        <v>0</v>
      </c>
    </row>
    <row r="55" spans="2:7" ht="15.75" customHeight="1" x14ac:dyDescent="0.2">
      <c r="B55" s="600" t="s">
        <v>79</v>
      </c>
      <c r="C55" s="601"/>
      <c r="D55" s="604">
        <f>C54-G54</f>
        <v>0</v>
      </c>
      <c r="E55" s="604"/>
      <c r="F55" s="179"/>
      <c r="G55" s="218"/>
    </row>
    <row r="56" spans="2:7" ht="9" customHeight="1" thickBot="1" x14ac:dyDescent="0.25">
      <c r="B56" s="602"/>
      <c r="C56" s="603"/>
      <c r="D56" s="605"/>
      <c r="E56" s="605"/>
      <c r="F56" s="232"/>
      <c r="G56" s="233"/>
    </row>
  </sheetData>
  <mergeCells count="48">
    <mergeCell ref="D38:E38"/>
    <mergeCell ref="D37:E37"/>
    <mergeCell ref="B35:G36"/>
    <mergeCell ref="D34:E34"/>
    <mergeCell ref="B34:C34"/>
    <mergeCell ref="E30:G31"/>
    <mergeCell ref="B33:C33"/>
    <mergeCell ref="B32:C32"/>
    <mergeCell ref="D33:E33"/>
    <mergeCell ref="D32:E32"/>
    <mergeCell ref="B30:C31"/>
    <mergeCell ref="D15:F16"/>
    <mergeCell ref="D25:G26"/>
    <mergeCell ref="B25:C26"/>
    <mergeCell ref="D28:F28"/>
    <mergeCell ref="D29:F29"/>
    <mergeCell ref="B39:C40"/>
    <mergeCell ref="D39:G40"/>
    <mergeCell ref="I6:K10"/>
    <mergeCell ref="B55:C56"/>
    <mergeCell ref="D55:E56"/>
    <mergeCell ref="D41:F41"/>
    <mergeCell ref="D47:F47"/>
    <mergeCell ref="D50:F50"/>
    <mergeCell ref="D52:F52"/>
    <mergeCell ref="D46:F46"/>
    <mergeCell ref="D45:F45"/>
    <mergeCell ref="D44:F44"/>
    <mergeCell ref="D43:F43"/>
    <mergeCell ref="D42:F42"/>
    <mergeCell ref="D54:F54"/>
    <mergeCell ref="D6:F7"/>
    <mergeCell ref="D4:E4"/>
    <mergeCell ref="F4:G4"/>
    <mergeCell ref="D3:G3"/>
    <mergeCell ref="B1:C4"/>
    <mergeCell ref="D53:F53"/>
    <mergeCell ref="D24:F24"/>
    <mergeCell ref="D14:F14"/>
    <mergeCell ref="B5:C5"/>
    <mergeCell ref="D5:G5"/>
    <mergeCell ref="D27:F27"/>
    <mergeCell ref="B6:B7"/>
    <mergeCell ref="C6:C7"/>
    <mergeCell ref="B15:B16"/>
    <mergeCell ref="C15:C16"/>
    <mergeCell ref="G15:G16"/>
    <mergeCell ref="G6:G7"/>
  </mergeCells>
  <pageMargins left="0.25" right="0.25" top="0.75" bottom="0.75" header="0.3" footer="0.3"/>
  <pageSetup orientation="portrait" r:id="rId1"/>
  <headerFooter>
    <oddFooter>&amp;LFishBizPlan Balance Sheet&amp;RFishBizPlan.org</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B1B0"/>
  </sheetPr>
  <dimension ref="A1:M105"/>
  <sheetViews>
    <sheetView showGridLines="0" topLeftCell="A37" zoomScaleNormal="100" workbookViewId="0">
      <selection activeCell="D71" sqref="D71"/>
    </sheetView>
  </sheetViews>
  <sheetFormatPr defaultColWidth="10" defaultRowHeight="12" x14ac:dyDescent="0.2"/>
  <cols>
    <col min="1" max="1" width="10" style="14"/>
    <col min="2" max="2" width="53.28515625" style="14" customWidth="1"/>
    <col min="3" max="3" width="6.7109375" style="373" customWidth="1"/>
    <col min="4" max="4" width="18.85546875" style="175" customWidth="1"/>
    <col min="5" max="5" width="10" style="15" customWidth="1"/>
    <col min="6" max="8" width="12.7109375" style="15" customWidth="1"/>
    <col min="9" max="10" width="5.7109375" style="14" customWidth="1"/>
    <col min="11" max="11" width="12" style="14" customWidth="1"/>
    <col min="12" max="12" width="10" style="14"/>
    <col min="13" max="13" width="9.140625" style="14" customWidth="1"/>
    <col min="14" max="16384" width="10" style="14"/>
  </cols>
  <sheetData>
    <row r="1" spans="1:13" ht="18.75" x14ac:dyDescent="0.3">
      <c r="A1" s="18"/>
      <c r="B1" s="662" t="s">
        <v>178</v>
      </c>
      <c r="C1" s="662"/>
      <c r="D1" s="662"/>
      <c r="M1" s="176"/>
    </row>
    <row r="2" spans="1:13" ht="15" customHeight="1" x14ac:dyDescent="0.25">
      <c r="B2" s="664" t="str">
        <f>IF(Name&gt;"",Name,IF(BusName&gt;"",BusName,""))</f>
        <v/>
      </c>
      <c r="C2" s="664"/>
      <c r="D2" s="664"/>
      <c r="M2" s="176"/>
    </row>
    <row r="3" spans="1:13" ht="15.75" x14ac:dyDescent="0.25">
      <c r="B3" s="66" t="s">
        <v>160</v>
      </c>
      <c r="C3" s="663">
        <f ca="1">GenDate</f>
        <v>42421</v>
      </c>
      <c r="D3" s="663"/>
      <c r="M3" s="176"/>
    </row>
    <row r="4" spans="1:13" ht="3" customHeight="1" x14ac:dyDescent="0.2">
      <c r="B4" s="1"/>
      <c r="C4" s="343"/>
      <c r="D4" s="159"/>
      <c r="E4" s="16"/>
      <c r="F4" s="16"/>
      <c r="G4" s="16"/>
      <c r="M4" s="176"/>
    </row>
    <row r="5" spans="1:13" ht="18.75" customHeight="1" x14ac:dyDescent="0.2">
      <c r="B5" s="90" t="s">
        <v>295</v>
      </c>
      <c r="C5" s="344"/>
      <c r="D5" s="160"/>
      <c r="E5" s="16"/>
      <c r="F5" s="16"/>
      <c r="G5" s="16"/>
      <c r="M5" s="176"/>
    </row>
    <row r="6" spans="1:13" ht="15" customHeight="1" thickBot="1" x14ac:dyDescent="0.25">
      <c r="B6" s="97" t="s">
        <v>296</v>
      </c>
      <c r="C6" s="345" t="s">
        <v>225</v>
      </c>
      <c r="D6" s="161" t="s">
        <v>17</v>
      </c>
      <c r="E6" s="16"/>
      <c r="F6" s="32"/>
      <c r="G6" s="32"/>
      <c r="H6" s="32"/>
      <c r="I6" s="32"/>
      <c r="J6" s="32"/>
      <c r="K6" s="32"/>
      <c r="M6" s="176"/>
    </row>
    <row r="7" spans="1:13" ht="15" customHeight="1" x14ac:dyDescent="0.2">
      <c r="B7" s="87" t="s">
        <v>53</v>
      </c>
      <c r="C7" s="346" t="str">
        <f>IF(CACashTot&lt;&gt;0,"X","")</f>
        <v/>
      </c>
      <c r="D7" s="200">
        <f>IF(CellEntry()="",IF(CACashTot&lt;&gt;0,CACashTot,0),CellEntry())</f>
        <v>0</v>
      </c>
      <c r="I7" s="21"/>
      <c r="J7" s="21"/>
      <c r="K7" s="21"/>
      <c r="M7" s="176"/>
    </row>
    <row r="8" spans="1:13" s="18" customFormat="1" ht="15" customHeight="1" x14ac:dyDescent="0.2">
      <c r="B8" s="87" t="s">
        <v>5</v>
      </c>
      <c r="C8" s="346" t="str">
        <f>IF(CADueProcTot&lt;&gt;0,"X","")</f>
        <v/>
      </c>
      <c r="D8" s="200">
        <f>IF(CellEntry()="",IF(CADueProcTot&lt;&gt;0,CADueProcTot,0),CellEntry())</f>
        <v>0</v>
      </c>
      <c r="E8" s="17"/>
      <c r="I8" s="21"/>
      <c r="J8" s="21"/>
      <c r="K8" s="21"/>
      <c r="M8" s="176"/>
    </row>
    <row r="9" spans="1:13" s="18" customFormat="1" ht="15" customHeight="1" x14ac:dyDescent="0.2">
      <c r="B9" s="87" t="s">
        <v>50</v>
      </c>
      <c r="C9" s="346" t="str">
        <f>IF(CAOthRecTot&lt;&gt;0,"X","")</f>
        <v/>
      </c>
      <c r="D9" s="162">
        <f>IF(CellEntry()="",IF(CAOthRecTot&lt;&gt;0,CAOthRecTot,0),CellEntry())</f>
        <v>0</v>
      </c>
      <c r="E9" s="17"/>
      <c r="I9" s="21"/>
      <c r="J9" s="21"/>
      <c r="K9" s="21"/>
      <c r="M9" s="176"/>
    </row>
    <row r="10" spans="1:13" s="18" customFormat="1" ht="15" customHeight="1" x14ac:dyDescent="0.2">
      <c r="B10" s="87" t="s">
        <v>52</v>
      </c>
      <c r="C10" s="346" t="str">
        <f>IF(CABusLoansRecTot&lt;&gt;0,"X","")</f>
        <v/>
      </c>
      <c r="D10" s="162">
        <f>IF(CellEntry()="",IF(CABusLoansRecTot&lt;&gt;0,CABusLoansRecTot,0),CellEntry())</f>
        <v>0</v>
      </c>
      <c r="E10" s="17"/>
      <c r="I10" s="21"/>
      <c r="J10" s="21"/>
      <c r="K10" s="21"/>
      <c r="M10" s="176"/>
    </row>
    <row r="11" spans="1:13" s="18" customFormat="1" ht="15" customHeight="1" thickBot="1" x14ac:dyDescent="0.25">
      <c r="B11" s="87" t="s">
        <v>51</v>
      </c>
      <c r="C11" s="346" t="str">
        <f>IF(CAPrepaidTot&lt;&gt;0,"X","")</f>
        <v/>
      </c>
      <c r="D11" s="200">
        <f>IF(CellEntry()="",IF(CAPrepaidTot&lt;&gt;0,CAPrepaidTot,0),CellEntry())</f>
        <v>0</v>
      </c>
      <c r="E11" s="17"/>
      <c r="I11" s="21"/>
      <c r="J11" s="21"/>
      <c r="K11" s="21"/>
      <c r="M11" s="176"/>
    </row>
    <row r="12" spans="1:13" s="18" customFormat="1" ht="15" customHeight="1" x14ac:dyDescent="0.2">
      <c r="B12" s="87" t="s">
        <v>1</v>
      </c>
      <c r="C12" s="347" t="str">
        <f>IF(CAOtherTot&lt;&gt;0,"X","")</f>
        <v/>
      </c>
      <c r="D12" s="163">
        <f>IF(CellEntry()="",IF(CAOtherTot&lt;&gt;0,CAOtherTot,0),CellEntry())</f>
        <v>0</v>
      </c>
      <c r="E12" s="17"/>
      <c r="F12" s="665" t="s">
        <v>297</v>
      </c>
      <c r="G12" s="666"/>
      <c r="H12" s="667"/>
      <c r="I12" s="21"/>
      <c r="J12" s="21"/>
      <c r="K12" s="21"/>
      <c r="M12" s="176"/>
    </row>
    <row r="13" spans="1:13" ht="15" customHeight="1" x14ac:dyDescent="0.2">
      <c r="B13" s="98" t="s">
        <v>64</v>
      </c>
      <c r="C13" s="348"/>
      <c r="D13" s="201">
        <f>SUM(D7:D12)</f>
        <v>0</v>
      </c>
      <c r="F13" s="668"/>
      <c r="G13" s="669"/>
      <c r="H13" s="670"/>
      <c r="I13" s="21"/>
      <c r="J13" s="21"/>
      <c r="K13" s="21"/>
      <c r="M13" s="176"/>
    </row>
    <row r="14" spans="1:13" s="15" customFormat="1" ht="15" customHeight="1" thickBot="1" x14ac:dyDescent="0.25">
      <c r="B14" s="114" t="s">
        <v>298</v>
      </c>
      <c r="C14" s="345"/>
      <c r="D14" s="161" t="s">
        <v>17</v>
      </c>
      <c r="F14" s="668"/>
      <c r="G14" s="669"/>
      <c r="H14" s="670"/>
      <c r="I14" s="17"/>
      <c r="J14" s="17"/>
      <c r="K14" s="17"/>
      <c r="M14" s="176"/>
    </row>
    <row r="15" spans="1:13" s="21" customFormat="1" ht="15" customHeight="1" x14ac:dyDescent="0.2">
      <c r="B15" s="93" t="s">
        <v>54</v>
      </c>
      <c r="C15" s="349" t="str">
        <f>IF(NCVesselsTot&lt;&gt;0,"X","")</f>
        <v/>
      </c>
      <c r="D15" s="162">
        <f>IF(CellEntry()="",IF(NCVesselsTot&lt;&gt;0,NCVesselsTot,0),CellEntry())</f>
        <v>0</v>
      </c>
      <c r="E15" s="27"/>
      <c r="F15" s="668"/>
      <c r="G15" s="669"/>
      <c r="H15" s="670"/>
      <c r="M15" s="176"/>
    </row>
    <row r="16" spans="1:13" s="28" customFormat="1" ht="15" customHeight="1" x14ac:dyDescent="0.2">
      <c r="B16" s="93" t="s">
        <v>299</v>
      </c>
      <c r="C16" s="349" t="str">
        <f>IF(NCOtherFishEquipTot&lt;&gt;0,"X","")</f>
        <v/>
      </c>
      <c r="D16" s="162">
        <f>IF(CellEntry()="",IF(NCOtherFishEquipTot&lt;&gt;0,NCOtherFishEquipTot,0),CellEntry())</f>
        <v>0</v>
      </c>
      <c r="E16" s="15"/>
      <c r="F16" s="668"/>
      <c r="G16" s="669"/>
      <c r="H16" s="670"/>
      <c r="I16" s="21"/>
      <c r="J16" s="21"/>
      <c r="K16" s="21"/>
      <c r="M16" s="176"/>
    </row>
    <row r="17" spans="2:13" s="28" customFormat="1" ht="15" customHeight="1" x14ac:dyDescent="0.2">
      <c r="B17" s="93" t="s">
        <v>35</v>
      </c>
      <c r="C17" s="349" t="str">
        <f>IF(NCBusVehTot&lt;&gt;0,"X","")</f>
        <v/>
      </c>
      <c r="D17" s="162">
        <f>IF(CellEntry()="",IF(NCBusVehTot&lt;&gt;0,NCBusVehTot,0),CellEntry())</f>
        <v>0</v>
      </c>
      <c r="E17" s="15"/>
      <c r="F17" s="668"/>
      <c r="G17" s="669"/>
      <c r="H17" s="670"/>
      <c r="I17" s="21"/>
      <c r="J17" s="21"/>
      <c r="K17" s="21"/>
      <c r="M17" s="176"/>
    </row>
    <row r="18" spans="2:13" s="18" customFormat="1" ht="15" customHeight="1" x14ac:dyDescent="0.2">
      <c r="B18" s="93" t="s">
        <v>49</v>
      </c>
      <c r="C18" s="349" t="str">
        <f>IF(NCPermitsTot&lt;&gt;0,"X","")</f>
        <v/>
      </c>
      <c r="D18" s="162">
        <f>IF(CellEntry()="",IF(NCPermitsTot&lt;&gt;0,NCPermitsTot,0),CellEntry())</f>
        <v>0</v>
      </c>
      <c r="E18" s="17"/>
      <c r="F18" s="668"/>
      <c r="G18" s="669"/>
      <c r="H18" s="670"/>
      <c r="I18" s="21"/>
      <c r="J18" s="21"/>
      <c r="K18" s="21"/>
      <c r="M18" s="176"/>
    </row>
    <row r="19" spans="2:13" s="28" customFormat="1" ht="15" customHeight="1" x14ac:dyDescent="0.2">
      <c r="B19" s="87" t="s">
        <v>48</v>
      </c>
      <c r="C19" s="349" t="str">
        <f>IF(NCCapConstTot&lt;&gt;0,"X","")</f>
        <v/>
      </c>
      <c r="D19" s="162">
        <f>IF(CellEntry()="",IF(NCCapConstTot&lt;&gt;0,NCCapConstTot,0),CellEntry())</f>
        <v>0</v>
      </c>
      <c r="E19" s="15"/>
      <c r="F19" s="668"/>
      <c r="G19" s="669"/>
      <c r="H19" s="670"/>
      <c r="I19" s="21"/>
      <c r="J19" s="21"/>
      <c r="K19" s="21"/>
      <c r="M19" s="176"/>
    </row>
    <row r="20" spans="2:13" s="28" customFormat="1" ht="15" customHeight="1" x14ac:dyDescent="0.2">
      <c r="B20" s="93" t="s">
        <v>6</v>
      </c>
      <c r="C20" s="349" t="str">
        <f>IF(NCRETot&lt;&gt;0,"X","")</f>
        <v/>
      </c>
      <c r="D20" s="162">
        <f>IF(CellEntry()="",IF(NCRETot&lt;&gt;0,NCRETot,0),CellEntry())</f>
        <v>0</v>
      </c>
      <c r="E20" s="15"/>
      <c r="F20" s="668"/>
      <c r="G20" s="669"/>
      <c r="H20" s="670"/>
      <c r="I20" s="21"/>
      <c r="J20" s="21"/>
      <c r="K20" s="21"/>
      <c r="M20" s="176"/>
    </row>
    <row r="21" spans="2:13" s="28" customFormat="1" ht="15" customHeight="1" x14ac:dyDescent="0.2">
      <c r="B21" s="93" t="s">
        <v>1</v>
      </c>
      <c r="C21" s="350" t="str">
        <f>IF(NCOtherFishingTot&lt;&gt;0,"X","")</f>
        <v/>
      </c>
      <c r="D21" s="163">
        <f>IF(CellEntry()="",IF(NCOtherFishingTot&lt;&gt;0,NCOtherFishingTot,0),CellEntry())</f>
        <v>0</v>
      </c>
      <c r="E21" s="54"/>
      <c r="F21" s="668"/>
      <c r="G21" s="669"/>
      <c r="H21" s="670"/>
      <c r="I21" s="21"/>
      <c r="J21" s="21"/>
      <c r="K21" s="21"/>
      <c r="M21" s="176"/>
    </row>
    <row r="22" spans="2:13" s="28" customFormat="1" ht="15" customHeight="1" x14ac:dyDescent="0.2">
      <c r="B22" s="92" t="s">
        <v>148</v>
      </c>
      <c r="C22" s="351"/>
      <c r="D22" s="201">
        <f>SUM(D15:D21)</f>
        <v>0</v>
      </c>
      <c r="E22" s="15"/>
      <c r="F22" s="668"/>
      <c r="G22" s="669"/>
      <c r="H22" s="670"/>
      <c r="I22" s="21"/>
      <c r="J22" s="21"/>
      <c r="K22" s="21"/>
      <c r="M22" s="176"/>
    </row>
    <row r="23" spans="2:13" s="28" customFormat="1" ht="6" customHeight="1" x14ac:dyDescent="0.2">
      <c r="B23" s="99"/>
      <c r="C23" s="351"/>
      <c r="D23" s="164"/>
      <c r="E23" s="15"/>
      <c r="F23" s="668"/>
      <c r="G23" s="669"/>
      <c r="H23" s="670"/>
      <c r="I23" s="21"/>
      <c r="J23" s="21"/>
      <c r="K23" s="21"/>
      <c r="M23" s="176"/>
    </row>
    <row r="24" spans="2:13" ht="18.75" customHeight="1" x14ac:dyDescent="0.2">
      <c r="B24" s="90" t="s">
        <v>300</v>
      </c>
      <c r="C24" s="344"/>
      <c r="D24" s="160"/>
      <c r="E24" s="16"/>
      <c r="F24" s="668"/>
      <c r="G24" s="669"/>
      <c r="H24" s="670"/>
      <c r="M24" s="176"/>
    </row>
    <row r="25" spans="2:13" s="18" customFormat="1" ht="15" customHeight="1" thickBot="1" x14ac:dyDescent="0.25">
      <c r="B25" s="94" t="s">
        <v>301</v>
      </c>
      <c r="C25" s="352"/>
      <c r="D25" s="165" t="s">
        <v>166</v>
      </c>
      <c r="E25" s="17"/>
      <c r="F25" s="671"/>
      <c r="G25" s="672"/>
      <c r="H25" s="673"/>
      <c r="M25" s="176"/>
    </row>
    <row r="26" spans="2:13" ht="15" customHeight="1" x14ac:dyDescent="0.2">
      <c r="B26" s="87" t="s">
        <v>56</v>
      </c>
      <c r="C26" s="353" t="str">
        <f>IF(CLAPTot&lt;&gt;0,"X","")</f>
        <v/>
      </c>
      <c r="D26" s="162">
        <f>IF(CellEntry()="",IF(CLAPTot&lt;&gt;0,CLAPTot,0),CellEntry())</f>
        <v>0</v>
      </c>
      <c r="E26" s="36"/>
      <c r="I26" s="21"/>
      <c r="J26" s="21"/>
      <c r="K26" s="18"/>
      <c r="L26" s="18"/>
      <c r="M26" s="176"/>
    </row>
    <row r="27" spans="2:13" ht="15" customHeight="1" x14ac:dyDescent="0.2">
      <c r="B27" s="87" t="s">
        <v>36</v>
      </c>
      <c r="C27" s="353" t="str">
        <f>IF(CLBizCCTot&lt;&gt;0,"X","")</f>
        <v/>
      </c>
      <c r="D27" s="162">
        <f>IF(CellEntry()="",IF(CLBizCCTot&lt;&gt;0,CLBizCCTot,0),CellEntry())</f>
        <v>0</v>
      </c>
      <c r="E27" s="37"/>
      <c r="I27" s="21"/>
      <c r="J27" s="21"/>
      <c r="K27" s="18"/>
      <c r="L27" s="18"/>
      <c r="M27" s="176"/>
    </row>
    <row r="28" spans="2:13" ht="15" customHeight="1" thickBot="1" x14ac:dyDescent="0.25">
      <c r="B28" s="87" t="s">
        <v>55</v>
      </c>
      <c r="C28" s="354" t="str">
        <f>IF(CLTaxesTot&lt;&gt;0,"X","")</f>
        <v/>
      </c>
      <c r="D28" s="162">
        <f>IF(CellEntry()="",IF(CLTaxesTot&lt;&gt;0,CLTaxesTot,0),CellEntry())</f>
        <v>0</v>
      </c>
      <c r="E28" s="37"/>
      <c r="F28" s="37"/>
      <c r="G28" s="17"/>
      <c r="H28" s="21"/>
      <c r="I28" s="21"/>
      <c r="J28" s="21"/>
      <c r="K28" s="18"/>
      <c r="L28" s="18"/>
      <c r="M28" s="176"/>
    </row>
    <row r="29" spans="2:13" ht="15" customHeight="1" x14ac:dyDescent="0.2">
      <c r="B29" s="87" t="s">
        <v>57</v>
      </c>
      <c r="C29" s="355"/>
      <c r="D29" s="469">
        <f>LoanCurrent</f>
        <v>0</v>
      </c>
      <c r="E29" s="37"/>
      <c r="F29" s="653" t="s">
        <v>305</v>
      </c>
      <c r="G29" s="654"/>
      <c r="H29" s="655"/>
      <c r="I29" s="21"/>
      <c r="J29" s="21"/>
      <c r="K29" s="18"/>
      <c r="L29" s="18"/>
      <c r="M29" s="176"/>
    </row>
    <row r="30" spans="2:13" ht="15" customHeight="1" x14ac:dyDescent="0.2">
      <c r="B30" s="87" t="s">
        <v>58</v>
      </c>
      <c r="C30" s="355"/>
      <c r="D30" s="469">
        <f>CurPortLT</f>
        <v>0</v>
      </c>
      <c r="E30" s="38"/>
      <c r="F30" s="656"/>
      <c r="G30" s="657"/>
      <c r="H30" s="658"/>
      <c r="I30" s="18"/>
      <c r="J30" s="18"/>
      <c r="K30" s="18"/>
      <c r="L30" s="18"/>
      <c r="M30" s="176"/>
    </row>
    <row r="31" spans="2:13" s="18" customFormat="1" ht="15" customHeight="1" x14ac:dyDescent="0.2">
      <c r="B31" s="87" t="s">
        <v>1</v>
      </c>
      <c r="C31" s="356" t="str">
        <f>IF(CLOthCurTot&lt;&gt;0,"X","")</f>
        <v/>
      </c>
      <c r="D31" s="163">
        <f>IF(CellEntry()="",IF(CLOthCurTot&lt;&gt;0,CLOthCurTot,0),CellEntry())</f>
        <v>0</v>
      </c>
      <c r="E31" s="38"/>
      <c r="F31" s="656"/>
      <c r="G31" s="657"/>
      <c r="H31" s="658"/>
      <c r="M31" s="176"/>
    </row>
    <row r="32" spans="2:13" ht="15" customHeight="1" x14ac:dyDescent="0.2">
      <c r="B32" s="92" t="s">
        <v>163</v>
      </c>
      <c r="C32" s="357"/>
      <c r="D32" s="203">
        <f>SUM(D26:D31)</f>
        <v>0</v>
      </c>
      <c r="E32" s="27"/>
      <c r="F32" s="656"/>
      <c r="G32" s="657"/>
      <c r="H32" s="658"/>
      <c r="I32" s="18"/>
      <c r="J32" s="18"/>
      <c r="K32" s="18"/>
      <c r="L32" s="18"/>
      <c r="M32" s="176"/>
    </row>
    <row r="33" spans="2:13" ht="15" customHeight="1" thickBot="1" x14ac:dyDescent="0.25">
      <c r="B33" s="100" t="s">
        <v>302</v>
      </c>
      <c r="C33" s="352"/>
      <c r="D33" s="165" t="s">
        <v>166</v>
      </c>
      <c r="E33" s="27"/>
      <c r="F33" s="656"/>
      <c r="G33" s="657"/>
      <c r="H33" s="658"/>
      <c r="I33" s="18"/>
      <c r="J33" s="18"/>
      <c r="K33" s="18"/>
      <c r="L33" s="18"/>
      <c r="M33" s="176"/>
    </row>
    <row r="34" spans="2:13" s="18" customFormat="1" ht="15" customHeight="1" x14ac:dyDescent="0.2">
      <c r="B34" s="87" t="s">
        <v>10</v>
      </c>
      <c r="C34" s="355"/>
      <c r="D34" s="469">
        <f>LoanVesselEntry</f>
        <v>0</v>
      </c>
      <c r="F34" s="656"/>
      <c r="G34" s="657"/>
      <c r="H34" s="658"/>
      <c r="M34" s="176"/>
    </row>
    <row r="35" spans="2:13" s="18" customFormat="1" ht="15" customHeight="1" x14ac:dyDescent="0.2">
      <c r="B35" s="87" t="s">
        <v>59</v>
      </c>
      <c r="C35" s="355"/>
      <c r="D35" s="469">
        <f>LoanPermitEntry</f>
        <v>0</v>
      </c>
      <c r="E35" s="17"/>
      <c r="F35" s="656"/>
      <c r="G35" s="657"/>
      <c r="H35" s="658"/>
      <c r="M35" s="176"/>
    </row>
    <row r="36" spans="2:13" s="18" customFormat="1" ht="15" customHeight="1" x14ac:dyDescent="0.2">
      <c r="B36" s="87" t="s">
        <v>37</v>
      </c>
      <c r="C36" s="355"/>
      <c r="D36" s="469">
        <f>LoanBVehEntry</f>
        <v>0</v>
      </c>
      <c r="E36" s="17"/>
      <c r="F36" s="656"/>
      <c r="G36" s="657"/>
      <c r="H36" s="658"/>
      <c r="M36" s="176"/>
    </row>
    <row r="37" spans="2:13" s="18" customFormat="1" ht="15" customHeight="1" thickBot="1" x14ac:dyDescent="0.25">
      <c r="B37" s="87" t="s">
        <v>60</v>
      </c>
      <c r="C37" s="355"/>
      <c r="D37" s="469">
        <f>LoanREEntry</f>
        <v>0</v>
      </c>
      <c r="E37" s="17"/>
      <c r="F37" s="659"/>
      <c r="G37" s="660"/>
      <c r="H37" s="661"/>
      <c r="M37" s="176"/>
    </row>
    <row r="38" spans="2:13" s="18" customFormat="1" ht="15" customHeight="1" x14ac:dyDescent="0.2">
      <c r="B38" s="87" t="s">
        <v>1</v>
      </c>
      <c r="C38" s="356" t="str">
        <f>IF(NCOthLiabTot&lt;&gt;0,"X","")</f>
        <v/>
      </c>
      <c r="D38" s="163">
        <f>IF(CellEntry()="",IF(NCOthLiabTot&lt;&gt;0,NCOthLiabTot,0),CellEntry())</f>
        <v>0</v>
      </c>
      <c r="E38" s="17"/>
      <c r="J38" s="176"/>
    </row>
    <row r="39" spans="2:13" ht="15" customHeight="1" x14ac:dyDescent="0.2">
      <c r="B39" s="92" t="s">
        <v>164</v>
      </c>
      <c r="C39" s="358"/>
      <c r="D39" s="204">
        <f>SUM(D34:D38)</f>
        <v>0</v>
      </c>
      <c r="E39" s="17"/>
      <c r="F39" s="18"/>
      <c r="G39" s="18"/>
      <c r="H39" s="18"/>
      <c r="I39" s="18"/>
      <c r="J39" s="176"/>
    </row>
    <row r="40" spans="2:13" ht="12" customHeight="1" x14ac:dyDescent="0.2">
      <c r="B40" s="97" t="s">
        <v>292</v>
      </c>
      <c r="C40" s="344"/>
      <c r="D40" s="166"/>
      <c r="F40" s="14"/>
      <c r="G40" s="14"/>
      <c r="H40" s="14"/>
      <c r="J40" s="176"/>
    </row>
    <row r="41" spans="2:13" ht="12" customHeight="1" x14ac:dyDescent="0.2">
      <c r="B41" s="87" t="s">
        <v>9</v>
      </c>
      <c r="C41" s="359"/>
      <c r="D41" s="205">
        <f>D13</f>
        <v>0</v>
      </c>
      <c r="F41" s="14"/>
      <c r="G41" s="14"/>
      <c r="H41" s="14"/>
      <c r="J41" s="176"/>
    </row>
    <row r="42" spans="2:13" ht="12" customHeight="1" x14ac:dyDescent="0.2">
      <c r="B42" s="87" t="s">
        <v>61</v>
      </c>
      <c r="C42" s="360"/>
      <c r="D42" s="206">
        <f>D22</f>
        <v>0</v>
      </c>
      <c r="F42" s="14"/>
      <c r="G42" s="14"/>
      <c r="H42" s="14"/>
      <c r="J42" s="176"/>
    </row>
    <row r="43" spans="2:13" ht="12" customHeight="1" x14ac:dyDescent="0.2">
      <c r="B43" s="92" t="s">
        <v>292</v>
      </c>
      <c r="C43" s="361"/>
      <c r="D43" s="207">
        <f>D41+D42</f>
        <v>0</v>
      </c>
      <c r="M43" s="176"/>
    </row>
    <row r="44" spans="2:13" ht="12" customHeight="1" x14ac:dyDescent="0.2">
      <c r="B44" s="78" t="s">
        <v>293</v>
      </c>
      <c r="C44" s="362"/>
      <c r="D44" s="167"/>
      <c r="M44" s="176"/>
    </row>
    <row r="45" spans="2:13" ht="12" customHeight="1" x14ac:dyDescent="0.2">
      <c r="B45" s="87" t="s">
        <v>9</v>
      </c>
      <c r="C45" s="359"/>
      <c r="D45" s="205">
        <f>D32</f>
        <v>0</v>
      </c>
      <c r="M45" s="176"/>
    </row>
    <row r="46" spans="2:13" ht="12" customHeight="1" x14ac:dyDescent="0.2">
      <c r="B46" s="87" t="s">
        <v>61</v>
      </c>
      <c r="C46" s="360"/>
      <c r="D46" s="206">
        <f>D39</f>
        <v>0</v>
      </c>
      <c r="M46" s="176"/>
    </row>
    <row r="47" spans="2:13" ht="12" customHeight="1" x14ac:dyDescent="0.2">
      <c r="B47" s="92" t="s">
        <v>293</v>
      </c>
      <c r="C47" s="361"/>
      <c r="D47" s="207">
        <f>D45+D46</f>
        <v>0</v>
      </c>
      <c r="M47" s="176"/>
    </row>
    <row r="48" spans="2:13" ht="6" customHeight="1" x14ac:dyDescent="0.2">
      <c r="B48" s="92"/>
      <c r="C48" s="361"/>
      <c r="D48" s="169"/>
      <c r="M48" s="176"/>
    </row>
    <row r="49" spans="2:13" ht="15" customHeight="1" x14ac:dyDescent="0.2">
      <c r="B49" s="96" t="s">
        <v>294</v>
      </c>
      <c r="C49" s="363"/>
      <c r="D49" s="208">
        <f>D43-D47</f>
        <v>0</v>
      </c>
      <c r="M49" s="176"/>
    </row>
    <row r="50" spans="2:13" ht="12.75" x14ac:dyDescent="0.2">
      <c r="B50" s="22"/>
      <c r="C50" s="361"/>
      <c r="D50" s="170"/>
      <c r="M50" s="176"/>
    </row>
    <row r="51" spans="2:13" ht="18.75" customHeight="1" x14ac:dyDescent="0.2">
      <c r="B51" s="1" t="s">
        <v>62</v>
      </c>
      <c r="C51" s="343"/>
      <c r="D51" s="159"/>
      <c r="E51" s="16"/>
      <c r="F51" s="16"/>
      <c r="G51" s="16"/>
      <c r="M51" s="176"/>
    </row>
    <row r="52" spans="2:13" ht="15" customHeight="1" thickBot="1" x14ac:dyDescent="0.25">
      <c r="B52" s="97" t="s">
        <v>168</v>
      </c>
      <c r="C52" s="345"/>
      <c r="D52" s="161" t="s">
        <v>17</v>
      </c>
      <c r="M52" s="176"/>
    </row>
    <row r="53" spans="2:13" ht="15" customHeight="1" x14ac:dyDescent="0.2">
      <c r="B53" s="91"/>
      <c r="C53" s="362"/>
      <c r="D53" s="167"/>
      <c r="M53" s="176"/>
    </row>
    <row r="54" spans="2:13" ht="15" customHeight="1" x14ac:dyDescent="0.2">
      <c r="B54" s="87" t="s">
        <v>65</v>
      </c>
      <c r="C54" s="359" t="str">
        <f>IF(PersCashTot&lt;&gt;0,"X","")</f>
        <v/>
      </c>
      <c r="D54" s="171">
        <f>IF(CellEntry()="",IF(PersCashTot&lt;&gt;0,PersCashTot,0),CellEntry())</f>
        <v>0</v>
      </c>
      <c r="M54" s="176"/>
    </row>
    <row r="55" spans="2:13" ht="15" customHeight="1" x14ac:dyDescent="0.2">
      <c r="B55" s="87" t="s">
        <v>68</v>
      </c>
      <c r="C55" s="364" t="str">
        <f>IF(PersStockTot&lt;&gt;0,"X","")</f>
        <v/>
      </c>
      <c r="D55" s="171">
        <f>IF(CellEntry()="",IF(PersStockTot&lt;&gt;0,PersStockTot,0),CellEntry())</f>
        <v>0</v>
      </c>
      <c r="M55" s="176"/>
    </row>
    <row r="56" spans="2:13" ht="15" customHeight="1" x14ac:dyDescent="0.2">
      <c r="B56" s="87" t="s">
        <v>66</v>
      </c>
      <c r="C56" s="365" t="str">
        <f>IF(PersLoanRTot&lt;&gt;0,"X","")</f>
        <v/>
      </c>
      <c r="D56" s="171">
        <f>IF(CellEntry()="",IF(PersLoanRTot&lt;&gt;0,PersLoanRTot,0),CellEntry())</f>
        <v>0</v>
      </c>
      <c r="M56" s="176"/>
    </row>
    <row r="57" spans="2:13" ht="15" customHeight="1" x14ac:dyDescent="0.2">
      <c r="B57" s="93" t="s">
        <v>69</v>
      </c>
      <c r="C57" s="364" t="str">
        <f>IF(PersPropTot&lt;&gt;0,"X","")</f>
        <v/>
      </c>
      <c r="D57" s="171">
        <f>IF(CellEntry()="",IF(PersPropTot&lt;&gt;0,PersPropTot,0),CellEntry())</f>
        <v>0</v>
      </c>
    </row>
    <row r="58" spans="2:13" ht="15" customHeight="1" x14ac:dyDescent="0.2">
      <c r="B58" s="93" t="s">
        <v>41</v>
      </c>
      <c r="C58" s="364" t="str">
        <f>IF(PersVehicleTot&lt;&gt;0,"X","")</f>
        <v/>
      </c>
      <c r="D58" s="171">
        <f>IF(CellEntry()="",IF(PersVehicleTot&lt;&gt;0,PersVehicleTot,0),CellEntry())</f>
        <v>0</v>
      </c>
    </row>
    <row r="59" spans="2:13" ht="15" customHeight="1" x14ac:dyDescent="0.2">
      <c r="B59" s="87" t="s">
        <v>8</v>
      </c>
      <c r="C59" s="364" t="str">
        <f>IF(PersLifeInsTot&lt;&gt;0,"X","")</f>
        <v/>
      </c>
      <c r="D59" s="171">
        <f>IF(CellEntry()="",IF(PersLifeInsTot&lt;&gt;0,PersLifeInsTot,0),CellEntry())</f>
        <v>0</v>
      </c>
    </row>
    <row r="60" spans="2:13" ht="15" customHeight="1" x14ac:dyDescent="0.2">
      <c r="B60" s="93" t="s">
        <v>67</v>
      </c>
      <c r="C60" s="364" t="str">
        <f>IF(PersRetireTot&lt;&gt;0,"X","")</f>
        <v/>
      </c>
      <c r="D60" s="171">
        <f>IF(CellEntry()="",IF(PersRetireTot&lt;&gt;0,PersRetireTot,0),CellEntry())</f>
        <v>0</v>
      </c>
    </row>
    <row r="61" spans="2:13" ht="15" customHeight="1" x14ac:dyDescent="0.2">
      <c r="B61" s="93" t="s">
        <v>40</v>
      </c>
      <c r="C61" s="366" t="str">
        <f>IF(PersRETot&lt;&gt;0,"X","")</f>
        <v/>
      </c>
      <c r="D61" s="171">
        <f>IF(CellEntry()="",IF(PersRETot&lt;&gt;0,PersRETot,0),CellEntry())</f>
        <v>0</v>
      </c>
    </row>
    <row r="62" spans="2:13" ht="15" customHeight="1" x14ac:dyDescent="0.2">
      <c r="B62" s="93" t="s">
        <v>1</v>
      </c>
      <c r="C62" s="367" t="str">
        <f>IF(PersOthTot&lt;&gt;0,"X","")</f>
        <v/>
      </c>
      <c r="D62" s="216">
        <f>IF(CellEntry()="",IF(PersOthTot&lt;&gt;0,PersOthTot,0),CellEntry())</f>
        <v>0</v>
      </c>
    </row>
    <row r="63" spans="2:13" ht="15" customHeight="1" x14ac:dyDescent="0.2">
      <c r="B63" s="101" t="s">
        <v>76</v>
      </c>
      <c r="C63" s="351"/>
      <c r="D63" s="209">
        <f>SUM(D54:D62)</f>
        <v>0</v>
      </c>
    </row>
    <row r="64" spans="2:13" ht="6" customHeight="1" x14ac:dyDescent="0.2">
      <c r="B64" s="102"/>
      <c r="C64" s="344"/>
      <c r="D64" s="166"/>
    </row>
    <row r="65" spans="2:8" ht="15" customHeight="1" thickBot="1" x14ac:dyDescent="0.25">
      <c r="B65" s="94" t="s">
        <v>70</v>
      </c>
      <c r="C65" s="352"/>
      <c r="D65" s="165" t="s">
        <v>166</v>
      </c>
    </row>
    <row r="66" spans="2:8" ht="15" customHeight="1" x14ac:dyDescent="0.2">
      <c r="B66" s="86" t="s">
        <v>71</v>
      </c>
      <c r="C66" s="355" t="str">
        <f>IF(PersLAPTot&lt;&gt;0,"X","")</f>
        <v/>
      </c>
      <c r="D66" s="171">
        <f>IF(CellEntry()="",IF(PersLAPTot&lt;&gt;0,PersLAPTot,0),CellEntry())</f>
        <v>0</v>
      </c>
    </row>
    <row r="67" spans="2:8" ht="15" customHeight="1" x14ac:dyDescent="0.2">
      <c r="B67" s="87" t="s">
        <v>72</v>
      </c>
      <c r="C67" s="355"/>
      <c r="D67" s="202">
        <f>LoanPersEntry+LoanPersEntryCurrent</f>
        <v>0</v>
      </c>
    </row>
    <row r="68" spans="2:8" ht="15" customHeight="1" x14ac:dyDescent="0.2">
      <c r="B68" s="87" t="s">
        <v>73</v>
      </c>
      <c r="C68" s="355" t="str">
        <f>IF(PersLCCTot&lt;&gt;0,"X","")</f>
        <v/>
      </c>
      <c r="D68" s="171">
        <f>IF(CellEntry()="",IF(PersLCCTot&lt;&gt;0,PersLCCTot,0),CellEntry())</f>
        <v>0</v>
      </c>
    </row>
    <row r="69" spans="2:8" ht="15" customHeight="1" x14ac:dyDescent="0.2">
      <c r="B69" s="87" t="s">
        <v>74</v>
      </c>
      <c r="C69" s="368" t="str">
        <f>IF(PersLTaxesTot&lt;&gt;0,"X","")</f>
        <v/>
      </c>
      <c r="D69" s="171">
        <f>IF(CellEntry()="",IF(PersLTaxesTot&lt;&gt;0,PersLTaxesTot,0),CellEntry())</f>
        <v>0</v>
      </c>
    </row>
    <row r="70" spans="2:8" ht="15" customHeight="1" x14ac:dyDescent="0.2">
      <c r="B70" s="87" t="s">
        <v>75</v>
      </c>
      <c r="C70" s="355"/>
      <c r="D70" s="202">
        <f>LoanPersREEntry+LoanPersREEntryCurrent</f>
        <v>0</v>
      </c>
    </row>
    <row r="71" spans="2:8" ht="15" customHeight="1" x14ac:dyDescent="0.2">
      <c r="B71" s="87" t="s">
        <v>1</v>
      </c>
      <c r="C71" s="369" t="str">
        <f>IF(PersLOthTot&lt;&gt;0,"X","")</f>
        <v/>
      </c>
      <c r="D71" s="216">
        <f>IF(CellEntry()="",IF(PersLOthTot&lt;&gt;0,PersLOthTot,0),CellEntry())</f>
        <v>0</v>
      </c>
    </row>
    <row r="72" spans="2:8" ht="15" customHeight="1" x14ac:dyDescent="0.2">
      <c r="B72" s="78" t="s">
        <v>77</v>
      </c>
      <c r="C72" s="358"/>
      <c r="D72" s="204">
        <f>SUM(D66:D71)</f>
        <v>0</v>
      </c>
    </row>
    <row r="73" spans="2:8" ht="15" customHeight="1" x14ac:dyDescent="0.2">
      <c r="B73" s="78"/>
      <c r="C73" s="362"/>
      <c r="D73" s="172"/>
    </row>
    <row r="74" spans="2:8" ht="15" customHeight="1" x14ac:dyDescent="0.2">
      <c r="B74" s="78" t="s">
        <v>78</v>
      </c>
      <c r="C74" s="362"/>
      <c r="D74" s="210">
        <f>D63-D72</f>
        <v>0</v>
      </c>
    </row>
    <row r="75" spans="2:8" ht="15" customHeight="1" x14ac:dyDescent="0.2">
      <c r="B75" s="103"/>
      <c r="C75" s="358"/>
      <c r="D75" s="168"/>
    </row>
    <row r="76" spans="2:8" ht="10.7" customHeight="1" x14ac:dyDescent="0.2">
      <c r="B76" s="102"/>
      <c r="C76" s="344"/>
      <c r="D76" s="173"/>
    </row>
    <row r="77" spans="2:8" s="41" customFormat="1" ht="15.75" x14ac:dyDescent="0.25">
      <c r="B77" s="104" t="s">
        <v>79</v>
      </c>
      <c r="C77" s="370"/>
      <c r="D77" s="211">
        <f>D49+D74</f>
        <v>0</v>
      </c>
      <c r="E77" s="42"/>
      <c r="F77" s="42"/>
      <c r="G77" s="42"/>
      <c r="H77" s="42"/>
    </row>
    <row r="78" spans="2:8" x14ac:dyDescent="0.2">
      <c r="B78" s="95"/>
      <c r="C78" s="362"/>
      <c r="D78" s="167"/>
    </row>
    <row r="79" spans="2:8" x14ac:dyDescent="0.2">
      <c r="B79" s="95"/>
      <c r="C79" s="362"/>
      <c r="D79" s="167"/>
    </row>
    <row r="80" spans="2:8" x14ac:dyDescent="0.2">
      <c r="B80" s="95"/>
      <c r="C80" s="362"/>
      <c r="D80" s="167"/>
    </row>
    <row r="81" spans="2:4" ht="14.25" x14ac:dyDescent="0.2">
      <c r="B81" s="105" t="s">
        <v>80</v>
      </c>
      <c r="C81" s="371"/>
      <c r="D81" s="174"/>
    </row>
    <row r="82" spans="2:4" ht="14.25" x14ac:dyDescent="0.2">
      <c r="B82" s="105" t="s">
        <v>84</v>
      </c>
      <c r="C82" s="371"/>
      <c r="D82" s="212">
        <f>IF(D32&lt;&gt;0,D13/D32,0)</f>
        <v>0</v>
      </c>
    </row>
    <row r="83" spans="2:4" ht="14.25" x14ac:dyDescent="0.2">
      <c r="B83" s="105"/>
      <c r="C83" s="371"/>
      <c r="D83" s="174"/>
    </row>
    <row r="84" spans="2:4" ht="14.25" x14ac:dyDescent="0.2">
      <c r="B84" s="105" t="s">
        <v>83</v>
      </c>
      <c r="C84" s="371"/>
      <c r="D84" s="213">
        <f>D13-D32</f>
        <v>0</v>
      </c>
    </row>
    <row r="85" spans="2:4" ht="14.25" x14ac:dyDescent="0.2">
      <c r="B85" s="105"/>
      <c r="C85" s="371"/>
      <c r="D85" s="174"/>
    </row>
    <row r="86" spans="2:4" ht="14.25" x14ac:dyDescent="0.2">
      <c r="B86" s="105" t="s">
        <v>82</v>
      </c>
      <c r="C86" s="371"/>
      <c r="D86" s="214">
        <f>IF(D43&lt;&gt;0,D47/D43,0)</f>
        <v>0</v>
      </c>
    </row>
    <row r="87" spans="2:4" ht="14.25" x14ac:dyDescent="0.2">
      <c r="B87" s="105"/>
      <c r="C87" s="371"/>
      <c r="D87" s="174"/>
    </row>
    <row r="88" spans="2:4" ht="14.25" x14ac:dyDescent="0.2">
      <c r="B88" s="106" t="s">
        <v>81</v>
      </c>
      <c r="C88" s="372"/>
      <c r="D88" s="215">
        <f>IF(D49&lt;&gt;0,D47/D49,0)</f>
        <v>0</v>
      </c>
    </row>
    <row r="105" spans="2:2" x14ac:dyDescent="0.2">
      <c r="B105" s="81"/>
    </row>
  </sheetData>
  <sheetProtection formatCells="0"/>
  <sortState ref="B61:D69">
    <sortCondition ref="C61:C69"/>
  </sortState>
  <mergeCells count="5">
    <mergeCell ref="F29:H37"/>
    <mergeCell ref="B1:D1"/>
    <mergeCell ref="C3:D3"/>
    <mergeCell ref="B2:D2"/>
    <mergeCell ref="F12:H25"/>
  </mergeCells>
  <phoneticPr fontId="11" type="noConversion"/>
  <conditionalFormatting sqref="D7">
    <cfRule type="expression" dxfId="264" priority="31">
      <formula>CACashTot&lt;&gt;0</formula>
    </cfRule>
  </conditionalFormatting>
  <conditionalFormatting sqref="D8">
    <cfRule type="expression" dxfId="263" priority="30">
      <formula>CADueProcTot&lt;&gt;0</formula>
    </cfRule>
  </conditionalFormatting>
  <conditionalFormatting sqref="D9">
    <cfRule type="expression" dxfId="262" priority="29">
      <formula>CAOthRecTot&lt;&gt;0</formula>
    </cfRule>
  </conditionalFormatting>
  <conditionalFormatting sqref="D10">
    <cfRule type="expression" dxfId="261" priority="28">
      <formula>CABusLoansRecTot</formula>
    </cfRule>
  </conditionalFormatting>
  <conditionalFormatting sqref="D11">
    <cfRule type="expression" dxfId="260" priority="27">
      <formula>CAPrepaidTot</formula>
    </cfRule>
  </conditionalFormatting>
  <conditionalFormatting sqref="D12">
    <cfRule type="expression" dxfId="259" priority="26">
      <formula>CAOtherTot</formula>
    </cfRule>
  </conditionalFormatting>
  <conditionalFormatting sqref="D15">
    <cfRule type="expression" dxfId="258" priority="25">
      <formula>NCVesselsTot&lt;&gt;0</formula>
    </cfRule>
  </conditionalFormatting>
  <conditionalFormatting sqref="D16">
    <cfRule type="expression" dxfId="257" priority="24">
      <formula>NCOtherFishEquipTot&lt;&gt;0</formula>
    </cfRule>
  </conditionalFormatting>
  <conditionalFormatting sqref="D17">
    <cfRule type="expression" dxfId="256" priority="23">
      <formula>NCBusVehTot&lt;&gt;0</formula>
    </cfRule>
  </conditionalFormatting>
  <conditionalFormatting sqref="D18">
    <cfRule type="expression" dxfId="255" priority="22">
      <formula>NCPermitsTot</formula>
    </cfRule>
  </conditionalFormatting>
  <conditionalFormatting sqref="D19">
    <cfRule type="expression" dxfId="254" priority="21">
      <formula>NCCapConstTot&lt;&gt;0</formula>
    </cfRule>
  </conditionalFormatting>
  <conditionalFormatting sqref="D20">
    <cfRule type="expression" dxfId="253" priority="20">
      <formula>NCRETot</formula>
    </cfRule>
  </conditionalFormatting>
  <conditionalFormatting sqref="D21">
    <cfRule type="expression" dxfId="252" priority="19">
      <formula>NCOtherFishingTot&lt;&gt;0</formula>
    </cfRule>
  </conditionalFormatting>
  <conditionalFormatting sqref="D26">
    <cfRule type="expression" dxfId="251" priority="18">
      <formula>CLAPTot&lt;&gt;0</formula>
    </cfRule>
  </conditionalFormatting>
  <conditionalFormatting sqref="D27">
    <cfRule type="expression" dxfId="250" priority="17">
      <formula>CLBizCCTot&lt;&gt;0</formula>
    </cfRule>
  </conditionalFormatting>
  <conditionalFormatting sqref="D28">
    <cfRule type="expression" dxfId="249" priority="16">
      <formula>CLTaxesTot&lt;&gt;0</formula>
    </cfRule>
  </conditionalFormatting>
  <conditionalFormatting sqref="D31">
    <cfRule type="expression" dxfId="248" priority="15">
      <formula>CLOthCurTot&lt;&gt;0</formula>
    </cfRule>
  </conditionalFormatting>
  <conditionalFormatting sqref="D38">
    <cfRule type="expression" dxfId="247" priority="14">
      <formula>NCOthLiabTot&lt;&gt;0</formula>
    </cfRule>
  </conditionalFormatting>
  <conditionalFormatting sqref="D54">
    <cfRule type="expression" dxfId="246" priority="13">
      <formula>PersCashTot&lt;&gt;0</formula>
    </cfRule>
  </conditionalFormatting>
  <conditionalFormatting sqref="D55">
    <cfRule type="expression" dxfId="245" priority="12">
      <formula>PersStockTot&lt;&gt;0</formula>
    </cfRule>
  </conditionalFormatting>
  <conditionalFormatting sqref="D56">
    <cfRule type="expression" dxfId="244" priority="11">
      <formula>PersLoanRTot&lt;&gt;0</formula>
    </cfRule>
  </conditionalFormatting>
  <conditionalFormatting sqref="D57">
    <cfRule type="expression" dxfId="243" priority="10">
      <formula>PersPropTot&lt;&gt;0</formula>
    </cfRule>
  </conditionalFormatting>
  <conditionalFormatting sqref="D58">
    <cfRule type="expression" dxfId="242" priority="9">
      <formula>PersVehicleTot&lt;&gt;0</formula>
    </cfRule>
  </conditionalFormatting>
  <conditionalFormatting sqref="D59">
    <cfRule type="expression" dxfId="241" priority="8">
      <formula>PersLifeInsTot</formula>
    </cfRule>
  </conditionalFormatting>
  <conditionalFormatting sqref="D60">
    <cfRule type="expression" dxfId="240" priority="7">
      <formula>PersRetireTot</formula>
    </cfRule>
  </conditionalFormatting>
  <conditionalFormatting sqref="D61">
    <cfRule type="expression" dxfId="239" priority="6">
      <formula>PersRETot</formula>
    </cfRule>
  </conditionalFormatting>
  <conditionalFormatting sqref="D62">
    <cfRule type="expression" dxfId="238" priority="5">
      <formula>PersOthTot</formula>
    </cfRule>
  </conditionalFormatting>
  <conditionalFormatting sqref="D66">
    <cfRule type="expression" dxfId="237" priority="4">
      <formula>PersLAPTot</formula>
    </cfRule>
  </conditionalFormatting>
  <conditionalFormatting sqref="D68">
    <cfRule type="expression" dxfId="236" priority="3">
      <formula>PersLCCTot</formula>
    </cfRule>
  </conditionalFormatting>
  <conditionalFormatting sqref="D69">
    <cfRule type="expression" dxfId="235" priority="2">
      <formula>PersLTaxesTot</formula>
    </cfRule>
  </conditionalFormatting>
  <conditionalFormatting sqref="D71">
    <cfRule type="expression" dxfId="234" priority="1">
      <formula>PersLOthTot</formula>
    </cfRule>
  </conditionalFormatting>
  <dataValidations count="31">
    <dataValidation type="custom" errorStyle="information" allowBlank="1" error="=IF(CellEntry()=&quot;&quot;,IF(CACashTot&lt;&gt;0,CACashTot,0),CellEntry())" sqref="D7">
      <formula1>(1=1)</formula1>
    </dataValidation>
    <dataValidation type="custom" errorStyle="information" allowBlank="1" error="=IF(CellEntry()=&quot;&quot;,IF(NCPermitsTot&lt;&gt;0,NCPermitsTot,0),CellEntry())" sqref="D18">
      <formula1>(1=1)</formula1>
    </dataValidation>
    <dataValidation type="custom" errorStyle="information" allowBlank="1" error="=IF(CellEntry()=&quot;&quot;,IF(NCOtherFishEquipTot&lt;&gt;0,NCOtherFishEquipTot,0),CellEntry())" sqref="D16">
      <formula1>(1=1)</formula1>
    </dataValidation>
    <dataValidation type="custom" errorStyle="information" allowBlank="1" error="=IF(CellEntry()=&quot;&quot;,IF(CLBizCCTot&lt;&gt;0,CLBizCCTot,0),CellEntry())" sqref="D27">
      <formula1>(1=1)</formula1>
    </dataValidation>
    <dataValidation type="custom" errorStyle="information" allowBlank="1" error="=IF(CellEntry()=&quot;&quot;,IF(CLOthCurTot&lt;&gt;0,CLOthCurTot,0),CellEntry())" sqref="D31">
      <formula1>(1=1)</formula1>
    </dataValidation>
    <dataValidation type="custom" errorStyle="information" allowBlank="1" error="=IF(CellEntry()=&quot;&quot;,IF(NCBusVehTot&lt;&gt;0,NCBusVehTot,0),CellEntry())" sqref="D17">
      <formula1>(1=1)</formula1>
    </dataValidation>
    <dataValidation type="custom" errorStyle="information" allowBlank="1" error="=IF(CellEntry()=&quot;&quot;,IF(CADueProcTot&lt;&gt;0,CADueProcTot,0),CellEntry())" sqref="D8">
      <formula1>(1=1)</formula1>
    </dataValidation>
    <dataValidation type="custom" errorStyle="information" allowBlank="1" error="=IF(CellEntry()=&quot;&quot;,IF(PersLAPTot&lt;&gt;0,PersLAPTot,0),CellEntry())" sqref="D66">
      <formula1>(1=1)</formula1>
    </dataValidation>
    <dataValidation type="custom" errorStyle="information" allowBlank="1" error="=IF(CellEntry()=&quot;&quot;,IF(PersLoanRTot&lt;&gt;0,PersLoanRTot,0),CellEntry())" sqref="D56">
      <formula1>(1=1)</formula1>
    </dataValidation>
    <dataValidation type="custom" errorStyle="information" allowBlank="1" error="=IF(CellEntry()=&quot;&quot;,IF(NCCapConstTot&lt;&gt;0,NCCapConstTot,0),CellEntry())" sqref="D19">
      <formula1>(1=1)</formula1>
    </dataValidation>
    <dataValidation type="custom" errorStyle="information" allowBlank="1" error="=IF(CellEntry()=&quot;&quot;,IF(PersLifeInsTot&lt;&gt;0,PersLifeInsTot,0),CellEntry())" sqref="D59">
      <formula1>(1=1)</formula1>
    </dataValidation>
    <dataValidation type="custom" errorStyle="information" allowBlank="1" error="=IF(CellEntry()=&quot;&quot;,IF(CLAPTot&lt;&gt;0,CLAPTot,0),CellEntry())" sqref="D26">
      <formula1>(1=1)</formula1>
    </dataValidation>
    <dataValidation type="custom" errorStyle="information" allowBlank="1" error="=IF(CellEntry()=&quot;&quot;,IF(CAOthRecTot&lt;&gt;0,CAOthRecTot,0),CellEntry())" sqref="D9">
      <formula1>(1=1)</formula1>
    </dataValidation>
    <dataValidation type="custom" errorStyle="information" allowBlank="1" error="=IF(CellEntry()=&quot;&quot;,IF(PersVehicleTot&lt;&gt;0,PersVehicleTot,0),CellEntry())" sqref="D58">
      <formula1>(1=1)</formula1>
    </dataValidation>
    <dataValidation type="custom" errorStyle="information" allowBlank="1" error="=IF(CellEntry()=&quot;&quot;,IF(PersPropTot&lt;&gt;0,PersPropTot,0),CellEntry())" sqref="D57">
      <formula1>(1=1)</formula1>
    </dataValidation>
    <dataValidation type="custom" errorStyle="information" allowBlank="1" error="=IF(CellEntry()=&quot;&quot;,IF(PersLTaxesTot&lt;&gt;0,PersLTaxesTot,0),CellEntry())" sqref="D69">
      <formula1>(1=1)</formula1>
    </dataValidation>
    <dataValidation type="custom" errorStyle="information" allowBlank="1" error="=IF(CellEntry()=&quot;&quot;,IF(NCRETot&lt;&gt;0,NCRETot,0),CellEntry())" sqref="D20">
      <formula1>(1=1)</formula1>
    </dataValidation>
    <dataValidation type="custom" errorStyle="information" allowBlank="1" error="=IF(CellEntry()=&quot;&quot;,IF(CLTaxesTot&lt;&gt;0,CLTaxesTot,0),CellEntry())" sqref="D28">
      <formula1>(1=1)</formula1>
    </dataValidation>
    <dataValidation type="custom" errorStyle="information" allowBlank="1" error="=IF(CellEntry()=&quot;&quot;,IF(PersCashTot&lt;&gt;0,PersCashTot,0),CellEntry())" sqref="D54">
      <formula1>(1=1)</formula1>
    </dataValidation>
    <dataValidation type="custom" errorStyle="information" allowBlank="1" error="=IF(CellEntry()=&quot;&quot;,IF(NCOthLiabTot&lt;&gt;0,NCOthLiabTot,0),CellEntry())" sqref="D38">
      <formula1>(1=1)</formula1>
    </dataValidation>
    <dataValidation type="custom" errorStyle="information" allowBlank="1" error="=IF(CellEntry()=&quot;&quot;,IF(NCVesselsTot&lt;&gt;0,NCVesselsTot,0),CellEntry())" sqref="D15">
      <formula1>(1=1)</formula1>
    </dataValidation>
    <dataValidation type="custom" errorStyle="information" allowBlank="1" error="=IF(CellEntry()=&quot;&quot;,IF(PersLOthTot&lt;&gt;0,PersLOthTot,0),CellEntry())" sqref="D71">
      <formula1>(1=1)</formula1>
    </dataValidation>
    <dataValidation type="custom" errorStyle="information" allowBlank="1" error="=IF(CellEntry()=&quot;&quot;,IF(PersRetireTot&lt;&gt;0,PersRetireTot,0),CellEntry())" sqref="D60">
      <formula1>(1=1)</formula1>
    </dataValidation>
    <dataValidation type="custom" errorStyle="information" allowBlank="1" error="=IF(CellEntry()=&quot;&quot;,IF(CABusLoansRecTot&lt;&gt;0,CABusLoansRecTot,0),CellEntry())" sqref="D10">
      <formula1>(1=1)</formula1>
    </dataValidation>
    <dataValidation type="custom" errorStyle="information" allowBlank="1" error="=IF(CellEntry()=&quot;&quot;,IF(NCOtherFishingTot&lt;&gt;0,NCOtherFishingTot,0),CellEntry())" sqref="D21">
      <formula1>(1=1)</formula1>
    </dataValidation>
    <dataValidation type="custom" errorStyle="information" allowBlank="1" error="=IF(CellEntry()=&quot;&quot;,IF(PersLCCTot&lt;&gt;0,PersLCCTot,0),CellEntry())" sqref="D68">
      <formula1>(1=1)</formula1>
    </dataValidation>
    <dataValidation type="custom" errorStyle="information" allowBlank="1" error="=IF(CellEntry()=&quot;&quot;,IF(PersOthTot&lt;&gt;0,PersOthTot,0),CellEntry())" sqref="D62">
      <formula1>(1=1)</formula1>
    </dataValidation>
    <dataValidation type="custom" errorStyle="information" allowBlank="1" error="=IF(CellEntry()=&quot;&quot;,IF(PersRETot&lt;&gt;0,PersRETot,0),CellEntry())" sqref="D61">
      <formula1>(1=1)</formula1>
    </dataValidation>
    <dataValidation type="custom" errorStyle="information" allowBlank="1" error="=IF(CellEntry()=&quot;&quot;,IF(PersStockTot&lt;&gt;0,PersStockTot,0),CellEntry())" sqref="D55">
      <formula1>(1=1)</formula1>
    </dataValidation>
    <dataValidation type="custom" errorStyle="information" allowBlank="1" error="=IF(CellEntry()=&quot;&quot;,IF(CAOtherTot&lt;&gt;0,CAOtherTot,0),CellEntry())" sqref="D12">
      <formula1>(1=1)</formula1>
    </dataValidation>
    <dataValidation type="custom" errorStyle="information" allowBlank="1" error="=IF(CellEntry()=&quot;&quot;,IF(CAPrepaidTot&lt;&gt;0,CAPrepaidTot,0),CellEntry())" sqref="D11">
      <formula1>(1=1)</formula1>
    </dataValidation>
  </dataValidations>
  <printOptions horizontalCentered="1" verticalCentered="1"/>
  <pageMargins left="0.75" right="0.75" top="0.74" bottom="0.67" header="0.5" footer="0.5"/>
  <pageSetup orientation="portrait" verticalDpi="1200" r:id="rId1"/>
  <headerFooter alignWithMargins="0"/>
  <rowBreaks count="1" manualBreakCount="1">
    <brk id="49"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B1B0"/>
  </sheetPr>
  <dimension ref="A1:I117"/>
  <sheetViews>
    <sheetView showGridLines="0" topLeftCell="A2" zoomScaleNormal="100" workbookViewId="0">
      <pane ySplit="4" topLeftCell="A12" activePane="bottomLeft" state="frozen"/>
      <selection activeCell="A2" sqref="A2"/>
      <selection pane="bottomLeft" activeCell="G2" sqref="G2"/>
    </sheetView>
  </sheetViews>
  <sheetFormatPr defaultColWidth="10" defaultRowHeight="15" customHeight="1" x14ac:dyDescent="0.2"/>
  <cols>
    <col min="1" max="1" width="49.7109375" style="14" customWidth="1"/>
    <col min="2" max="2" width="16.7109375" style="23" bestFit="1" customWidth="1"/>
    <col min="3" max="3" width="10" style="15" customWidth="1"/>
    <col min="4" max="4" width="49.7109375" style="15" customWidth="1"/>
    <col min="5" max="5" width="16.7109375" style="15" customWidth="1"/>
    <col min="6" max="6" width="12.7109375" style="15" customWidth="1"/>
    <col min="7" max="7" width="49.7109375" style="14" customWidth="1"/>
    <col min="8" max="8" width="16.7109375" style="14" customWidth="1"/>
    <col min="9" max="9" width="12" style="14" customWidth="1"/>
    <col min="10" max="16384" width="10" style="14"/>
  </cols>
  <sheetData>
    <row r="1" spans="1:9" ht="20.25" customHeight="1" x14ac:dyDescent="0.3">
      <c r="A1" s="4" t="s">
        <v>182</v>
      </c>
    </row>
    <row r="2" spans="1:9" ht="15" customHeight="1" x14ac:dyDescent="0.2">
      <c r="A2" s="674" t="str">
        <f>IF(Name&gt;"",Name,IF(BusName&gt;"",BusName,""))</f>
        <v/>
      </c>
      <c r="B2" s="674"/>
      <c r="D2" s="15" t="s">
        <v>303</v>
      </c>
    </row>
    <row r="3" spans="1:9" ht="15" customHeight="1" x14ac:dyDescent="0.2">
      <c r="A3" s="118" t="s">
        <v>181</v>
      </c>
      <c r="B3" s="117">
        <f ca="1">GenDate</f>
        <v>42421</v>
      </c>
      <c r="C3" s="20"/>
      <c r="D3" s="20"/>
      <c r="E3" s="20"/>
      <c r="F3" s="20"/>
    </row>
    <row r="4" spans="1:9" ht="15" customHeight="1" x14ac:dyDescent="0.2">
      <c r="B4" s="14"/>
      <c r="C4" s="44"/>
      <c r="D4" s="44"/>
      <c r="E4" s="44"/>
      <c r="F4" s="20"/>
    </row>
    <row r="5" spans="1:9" ht="15" customHeight="1" x14ac:dyDescent="0.2">
      <c r="A5" s="1" t="s">
        <v>34</v>
      </c>
      <c r="B5" s="107"/>
      <c r="C5" s="44"/>
      <c r="D5" s="112" t="s">
        <v>179</v>
      </c>
      <c r="E5" s="36"/>
      <c r="F5" s="20"/>
      <c r="G5" s="1" t="s">
        <v>184</v>
      </c>
      <c r="H5" s="107"/>
    </row>
    <row r="6" spans="1:9" ht="15" customHeight="1" x14ac:dyDescent="0.2">
      <c r="A6" s="1"/>
      <c r="B6" s="46"/>
      <c r="C6" s="44"/>
      <c r="D6" s="112"/>
      <c r="E6" s="36"/>
      <c r="F6" s="20"/>
      <c r="G6" s="1"/>
      <c r="H6" s="107"/>
    </row>
    <row r="7" spans="1:9" ht="15" customHeight="1" x14ac:dyDescent="0.2">
      <c r="A7" s="19" t="s">
        <v>212</v>
      </c>
      <c r="B7" s="107" t="s">
        <v>3</v>
      </c>
      <c r="C7" s="44"/>
      <c r="D7" s="26" t="s">
        <v>180</v>
      </c>
      <c r="E7" s="107" t="s">
        <v>3</v>
      </c>
      <c r="F7" s="45"/>
      <c r="G7" s="19" t="s">
        <v>65</v>
      </c>
      <c r="H7" s="107" t="s">
        <v>3</v>
      </c>
      <c r="I7" s="45"/>
    </row>
    <row r="8" spans="1:9" s="18" customFormat="1" ht="15" customHeight="1" x14ac:dyDescent="0.2">
      <c r="A8" s="85" t="s">
        <v>100</v>
      </c>
      <c r="B8" s="55"/>
      <c r="C8" s="17"/>
      <c r="D8" s="85"/>
      <c r="E8" s="82"/>
      <c r="F8" s="17"/>
      <c r="G8" s="85"/>
      <c r="H8" s="82"/>
      <c r="I8" s="21"/>
    </row>
    <row r="9" spans="1:9" s="18" customFormat="1" ht="15" customHeight="1" x14ac:dyDescent="0.2">
      <c r="A9" s="108" t="s">
        <v>183</v>
      </c>
      <c r="B9" s="109"/>
      <c r="C9" s="17"/>
      <c r="D9" s="392" t="str">
        <f>CONCATENATE("Sub-Total ",D7)</f>
        <v>Sub-Total Vessels</v>
      </c>
      <c r="E9" s="394">
        <f>SUM(NCVessels[Current Value])</f>
        <v>0</v>
      </c>
      <c r="F9" s="17"/>
      <c r="G9" s="392" t="str">
        <f>CONCATENATE("Sub-Total ",G7)</f>
        <v>Sub-Total Cash in Personal Accounts</v>
      </c>
      <c r="H9" s="393">
        <f>SUM(PersCash[Current Value])</f>
        <v>0</v>
      </c>
      <c r="I9" s="21"/>
    </row>
    <row r="10" spans="1:9" s="18" customFormat="1" ht="15" customHeight="1" x14ac:dyDescent="0.2">
      <c r="A10" s="392" t="str">
        <f>CONCATENATE("Sub-Total ",A7)</f>
        <v>Sub-Total Cash (cash, business checking &amp; savings accounts)</v>
      </c>
      <c r="B10" s="397">
        <f>SUM(CACash[Current Value])</f>
        <v>0</v>
      </c>
      <c r="C10" s="17"/>
      <c r="D10" s="113"/>
      <c r="E10" s="107"/>
      <c r="F10" s="17"/>
      <c r="G10" s="39"/>
      <c r="H10" s="110"/>
      <c r="I10" s="21"/>
    </row>
    <row r="11" spans="1:9" s="18" customFormat="1" ht="15" customHeight="1" x14ac:dyDescent="0.2">
      <c r="A11" s="84"/>
      <c r="B11" s="46"/>
      <c r="C11" s="17"/>
      <c r="D11" s="391" t="s">
        <v>4</v>
      </c>
      <c r="E11" s="388" t="s">
        <v>3</v>
      </c>
      <c r="F11" s="17"/>
      <c r="G11" s="19" t="s">
        <v>68</v>
      </c>
      <c r="H11" s="107" t="s">
        <v>3</v>
      </c>
      <c r="I11" s="21"/>
    </row>
    <row r="12" spans="1:9" s="18" customFormat="1" ht="15" customHeight="1" x14ac:dyDescent="0.2">
      <c r="A12" s="19" t="s">
        <v>5</v>
      </c>
      <c r="B12" s="107" t="s">
        <v>3</v>
      </c>
      <c r="C12" s="17"/>
      <c r="D12" s="389"/>
      <c r="E12" s="390"/>
      <c r="F12" s="17"/>
      <c r="G12" s="85"/>
      <c r="H12" s="82"/>
      <c r="I12" s="21"/>
    </row>
    <row r="13" spans="1:9" s="18" customFormat="1" ht="15" customHeight="1" x14ac:dyDescent="0.2">
      <c r="A13" s="85"/>
      <c r="B13" s="82"/>
      <c r="C13" s="17"/>
      <c r="D13" s="392" t="str">
        <f>CONCATENATE("Sub-Total ",D11)</f>
        <v>Sub-Total Other Fishing Equipment and Gear</v>
      </c>
      <c r="E13" s="398">
        <f>SUM(NCOtherFishingEquip[Current Value])</f>
        <v>0</v>
      </c>
      <c r="F13" s="17"/>
      <c r="G13" s="392" t="str">
        <f>CONCATENATE("Sub-Total ",G11)</f>
        <v>Sub-Total Stocks &amp; Bonds</v>
      </c>
      <c r="H13" s="399">
        <f>SUM(PersStock[Current Value])</f>
        <v>0</v>
      </c>
      <c r="I13" s="21"/>
    </row>
    <row r="14" spans="1:9" s="18" customFormat="1" ht="15" customHeight="1" x14ac:dyDescent="0.2">
      <c r="A14" s="392" t="str">
        <f>CONCATENATE("Sub-Total ",A12)</f>
        <v>Sub-Total Due from Processors</v>
      </c>
      <c r="B14" s="393">
        <f>SUM(CADueProc[Current Value])</f>
        <v>0</v>
      </c>
      <c r="C14" s="17"/>
      <c r="D14" s="115"/>
      <c r="E14" s="116"/>
      <c r="F14" s="17"/>
      <c r="G14" s="84"/>
      <c r="H14" s="46"/>
      <c r="I14" s="21"/>
    </row>
    <row r="15" spans="1:9" s="18" customFormat="1" ht="15" customHeight="1" x14ac:dyDescent="0.2">
      <c r="A15" s="84"/>
      <c r="B15" s="46"/>
      <c r="C15" s="17"/>
      <c r="D15" s="26" t="s">
        <v>35</v>
      </c>
      <c r="E15" s="107" t="s">
        <v>3</v>
      </c>
      <c r="F15" s="17"/>
      <c r="G15" s="19" t="s">
        <v>185</v>
      </c>
      <c r="H15" s="107" t="s">
        <v>3</v>
      </c>
      <c r="I15" s="21"/>
    </row>
    <row r="16" spans="1:9" s="18" customFormat="1" ht="15" customHeight="1" x14ac:dyDescent="0.2">
      <c r="A16" s="19" t="s">
        <v>211</v>
      </c>
      <c r="B16" s="107" t="s">
        <v>3</v>
      </c>
      <c r="C16" s="17"/>
      <c r="D16" s="85"/>
      <c r="E16" s="82"/>
      <c r="F16" s="17"/>
      <c r="G16" s="85"/>
      <c r="H16" s="82"/>
      <c r="I16" s="21"/>
    </row>
    <row r="17" spans="1:9" ht="15" customHeight="1" x14ac:dyDescent="0.2">
      <c r="A17" s="85"/>
      <c r="B17" s="82"/>
      <c r="C17" s="20"/>
      <c r="D17" s="392" t="str">
        <f>CONCATENATE("Sub-Total ",D15)</f>
        <v>Sub-Total Business Vehicles</v>
      </c>
      <c r="E17" s="398">
        <f>SUM(NCBusVehicles[Current Value])</f>
        <v>0</v>
      </c>
      <c r="F17" s="20"/>
      <c r="G17" s="392" t="str">
        <f>CONCATENATE("Sub-Total ",G15)</f>
        <v>Sub-Total Loans Receivable (personal loans)</v>
      </c>
      <c r="H17" s="393">
        <f>SUM(PersLoanR[Current Value])</f>
        <v>0</v>
      </c>
      <c r="I17" s="28"/>
    </row>
    <row r="18" spans="1:9" ht="15" customHeight="1" x14ac:dyDescent="0.2">
      <c r="A18" s="392" t="str">
        <f>CONCATENATE("Sub-Total ",A16)</f>
        <v>Sub-Total Other Business Accounts Receivables</v>
      </c>
      <c r="B18" s="393">
        <f>SUM(CAOthReceivable[Current Value])</f>
        <v>0</v>
      </c>
      <c r="C18" s="20"/>
      <c r="D18" s="40"/>
      <c r="E18" s="51"/>
      <c r="F18" s="20"/>
      <c r="G18" s="84"/>
      <c r="H18" s="46"/>
      <c r="I18" s="28"/>
    </row>
    <row r="19" spans="1:9" ht="15" customHeight="1" x14ac:dyDescent="0.2">
      <c r="A19" s="24"/>
      <c r="B19" s="46"/>
      <c r="C19" s="20"/>
      <c r="D19" s="26" t="s">
        <v>204</v>
      </c>
      <c r="E19" s="107" t="s">
        <v>3</v>
      </c>
      <c r="F19" s="20"/>
      <c r="G19" s="391" t="s">
        <v>69</v>
      </c>
      <c r="H19" s="388" t="s">
        <v>3</v>
      </c>
      <c r="I19" s="28"/>
    </row>
    <row r="20" spans="1:9" ht="15" customHeight="1" x14ac:dyDescent="0.2">
      <c r="A20" s="19" t="s">
        <v>52</v>
      </c>
      <c r="B20" s="107" t="s">
        <v>3</v>
      </c>
      <c r="C20" s="20"/>
      <c r="D20" s="85"/>
      <c r="E20" s="82"/>
      <c r="F20" s="20"/>
      <c r="G20" s="389"/>
      <c r="H20" s="390"/>
      <c r="I20" s="28"/>
    </row>
    <row r="21" spans="1:9" s="18" customFormat="1" ht="15" customHeight="1" x14ac:dyDescent="0.2">
      <c r="A21" s="85"/>
      <c r="B21" s="82"/>
      <c r="C21" s="17"/>
      <c r="D21" s="392" t="str">
        <f>CONCATENATE("Sub-Total ",D19)</f>
        <v>Sub-Total Transferable Permits &amp; Quota</v>
      </c>
      <c r="E21" s="394">
        <f>SUM(NCPermits[Current Value])</f>
        <v>0</v>
      </c>
      <c r="F21" s="17"/>
      <c r="G21" s="392" t="str">
        <f>CONCATENATE("Sub-Total ",G19)</f>
        <v>Sub-Total Personal Property</v>
      </c>
      <c r="H21" s="395">
        <f>SUM(PersProp[Current Value])</f>
        <v>0</v>
      </c>
      <c r="I21" s="21"/>
    </row>
    <row r="22" spans="1:9" s="18" customFormat="1" ht="15" customHeight="1" x14ac:dyDescent="0.2">
      <c r="A22" s="392" t="str">
        <f>CONCATENATE("Sub-Total ",A20)</f>
        <v>Sub-Total Business Loans Receivable</v>
      </c>
      <c r="B22" s="393">
        <f>SUM(CABusLoansRec[Current Value])</f>
        <v>0</v>
      </c>
      <c r="C22" s="17"/>
      <c r="D22" s="40"/>
      <c r="E22" s="51"/>
      <c r="F22" s="17"/>
      <c r="I22" s="21"/>
    </row>
    <row r="23" spans="1:9" ht="15" customHeight="1" x14ac:dyDescent="0.2">
      <c r="A23" s="84"/>
      <c r="B23" s="46"/>
      <c r="C23" s="20"/>
      <c r="D23" s="391" t="s">
        <v>48</v>
      </c>
      <c r="E23" s="388" t="s">
        <v>3</v>
      </c>
      <c r="F23" s="20"/>
      <c r="G23" s="391" t="s">
        <v>41</v>
      </c>
      <c r="H23" s="388" t="s">
        <v>3</v>
      </c>
      <c r="I23" s="28"/>
    </row>
    <row r="24" spans="1:9" s="18" customFormat="1" ht="15" customHeight="1" x14ac:dyDescent="0.2">
      <c r="A24" s="19" t="s">
        <v>51</v>
      </c>
      <c r="B24" s="107" t="s">
        <v>3</v>
      </c>
      <c r="C24" s="17"/>
      <c r="D24" s="389"/>
      <c r="E24" s="390"/>
      <c r="F24" s="17"/>
      <c r="G24" s="389"/>
      <c r="H24" s="390"/>
      <c r="I24" s="21"/>
    </row>
    <row r="25" spans="1:9" s="18" customFormat="1" ht="15" customHeight="1" x14ac:dyDescent="0.2">
      <c r="A25" s="85"/>
      <c r="B25" s="82"/>
      <c r="C25" s="17"/>
      <c r="D25" s="392" t="str">
        <f>CONCATENATE("Sub-Total ",D23)</f>
        <v>Sub-Total NOAA Capital Construction Fund Balance</v>
      </c>
      <c r="E25" s="396">
        <f>SUM(NCCapConst[Current Value])</f>
        <v>0</v>
      </c>
      <c r="F25" s="17"/>
      <c r="G25" s="392" t="str">
        <f>CONCATENATE("Sub-Total ",G23)</f>
        <v>Sub-Total Personal Vehicles</v>
      </c>
      <c r="H25" s="395">
        <f>SUM(PersVehicle[Current Value])</f>
        <v>0</v>
      </c>
      <c r="I25" s="21"/>
    </row>
    <row r="26" spans="1:9" s="18" customFormat="1" ht="15" customHeight="1" x14ac:dyDescent="0.2">
      <c r="A26" s="392" t="str">
        <f>CONCATENATE("Sub-Total ",A24)</f>
        <v>Sub-Total Pre-paid Expenses</v>
      </c>
      <c r="B26" s="393">
        <f>SUM(CAPrepaid[Current Value])</f>
        <v>0</v>
      </c>
      <c r="C26" s="17"/>
      <c r="D26" s="40"/>
      <c r="E26" s="51"/>
      <c r="F26" s="17"/>
      <c r="G26" s="24"/>
      <c r="H26" s="46"/>
      <c r="I26" s="21"/>
    </row>
    <row r="27" spans="1:9" s="18" customFormat="1" ht="15" customHeight="1" x14ac:dyDescent="0.2">
      <c r="A27" s="39"/>
      <c r="B27" s="46"/>
      <c r="C27" s="17"/>
      <c r="D27" s="26" t="s">
        <v>6</v>
      </c>
      <c r="E27" s="107" t="s">
        <v>3</v>
      </c>
      <c r="F27" s="17"/>
      <c r="G27" s="19" t="s">
        <v>45</v>
      </c>
      <c r="H27" s="107" t="s">
        <v>3</v>
      </c>
      <c r="I27" s="21"/>
    </row>
    <row r="28" spans="1:9" s="18" customFormat="1" ht="15" customHeight="1" x14ac:dyDescent="0.2">
      <c r="A28" s="19" t="s">
        <v>44</v>
      </c>
      <c r="B28" s="107" t="s">
        <v>3</v>
      </c>
      <c r="C28" s="17"/>
      <c r="D28" s="85"/>
      <c r="E28" s="82"/>
      <c r="F28" s="17"/>
      <c r="G28" s="85"/>
      <c r="H28" s="82"/>
      <c r="I28" s="21"/>
    </row>
    <row r="29" spans="1:9" ht="15" customHeight="1" x14ac:dyDescent="0.2">
      <c r="A29" s="85"/>
      <c r="B29" s="82"/>
      <c r="D29" s="392" t="str">
        <f>CONCATENATE("Sub-Total ",D27)</f>
        <v>Sub-Total Business Real Estate</v>
      </c>
      <c r="E29" s="394">
        <f>SUM(NCRE[Current Value])</f>
        <v>0</v>
      </c>
      <c r="F29" s="17"/>
      <c r="G29" s="392" t="str">
        <f>CONCATENATE("Sub-Total ",G27)</f>
        <v>Sub-Total Cash Value of Life Insurance Policies</v>
      </c>
      <c r="H29" s="393">
        <f>SUM(PersLifeIns[Current Value])</f>
        <v>0</v>
      </c>
      <c r="I29" s="21"/>
    </row>
    <row r="30" spans="1:9" ht="15" customHeight="1" x14ac:dyDescent="0.2">
      <c r="A30" s="392" t="str">
        <f>CONCATENATE("Sub-Total ",A28)</f>
        <v>Sub-Total Other Current Fishing Assets</v>
      </c>
      <c r="B30" s="393">
        <f>SUM(CAOther[Current Value])</f>
        <v>0</v>
      </c>
      <c r="D30" s="30"/>
      <c r="E30" s="23"/>
      <c r="F30" s="17"/>
      <c r="G30" s="39"/>
      <c r="H30" s="46"/>
      <c r="I30" s="21"/>
    </row>
    <row r="31" spans="1:9" s="18" customFormat="1" ht="15" customHeight="1" x14ac:dyDescent="0.2">
      <c r="A31" s="22"/>
      <c r="B31" s="46"/>
      <c r="C31" s="17"/>
      <c r="D31" s="19" t="s">
        <v>203</v>
      </c>
      <c r="E31" s="107" t="s">
        <v>3</v>
      </c>
      <c r="F31" s="17"/>
      <c r="G31" s="26" t="s">
        <v>40</v>
      </c>
      <c r="H31" s="107" t="s">
        <v>3</v>
      </c>
    </row>
    <row r="32" spans="1:9" s="18" customFormat="1" ht="15" customHeight="1" x14ac:dyDescent="0.2">
      <c r="A32" s="19"/>
      <c r="B32" s="46"/>
      <c r="C32" s="17"/>
      <c r="D32" s="85"/>
      <c r="E32" s="82"/>
      <c r="F32" s="17"/>
      <c r="G32" s="85"/>
      <c r="H32" s="82"/>
    </row>
    <row r="33" spans="1:8" ht="15" customHeight="1" x14ac:dyDescent="0.2">
      <c r="A33" s="21"/>
      <c r="B33" s="21"/>
      <c r="C33" s="20"/>
      <c r="D33" s="392" t="str">
        <f>CONCATENATE("Sub-Total ",D31)</f>
        <v>Sub-Total Other  Non-Current Fishing Assets</v>
      </c>
      <c r="E33" s="393">
        <f>SUM(NCOtherFishing[Current Value])</f>
        <v>0</v>
      </c>
      <c r="F33" s="20"/>
      <c r="G33" s="392" t="str">
        <f>CONCATENATE("Sub-Total ",G31)</f>
        <v>Sub-Total Personal Real Estate</v>
      </c>
      <c r="H33" s="394">
        <f>SUM(PersRE[Current Value])</f>
        <v>0</v>
      </c>
    </row>
    <row r="34" spans="1:8" ht="15" customHeight="1" x14ac:dyDescent="0.2">
      <c r="A34" s="21"/>
      <c r="B34" s="21"/>
      <c r="C34" s="20"/>
      <c r="D34" s="17"/>
      <c r="E34" s="17"/>
      <c r="F34" s="20"/>
      <c r="G34" s="29"/>
      <c r="H34" s="23"/>
    </row>
    <row r="35" spans="1:8" s="20" customFormat="1" ht="15" customHeight="1" x14ac:dyDescent="0.2">
      <c r="A35" s="21"/>
      <c r="B35" s="21"/>
      <c r="D35" s="15"/>
      <c r="E35" s="15"/>
      <c r="G35" s="26" t="s">
        <v>67</v>
      </c>
      <c r="H35" s="107" t="s">
        <v>3</v>
      </c>
    </row>
    <row r="36" spans="1:8" s="20" customFormat="1" ht="15" customHeight="1" x14ac:dyDescent="0.2">
      <c r="A36" s="14"/>
      <c r="B36" s="23"/>
      <c r="D36" s="15"/>
      <c r="E36" s="15"/>
      <c r="G36" s="85"/>
      <c r="H36" s="55"/>
    </row>
    <row r="37" spans="1:8" s="28" customFormat="1" ht="15" customHeight="1" x14ac:dyDescent="0.2">
      <c r="A37" s="14"/>
      <c r="B37" s="14"/>
      <c r="C37" s="44"/>
      <c r="D37" s="15"/>
      <c r="E37" s="15"/>
      <c r="F37" s="20"/>
      <c r="G37" s="392" t="str">
        <f>CONCATENATE("Sub-Total ",G35)</f>
        <v>Sub-Total Retirement Accounts</v>
      </c>
      <c r="H37" s="394">
        <f>SUM(PersRetire[Current Value])</f>
        <v>0</v>
      </c>
    </row>
    <row r="38" spans="1:8" s="21" customFormat="1" ht="15" customHeight="1" x14ac:dyDescent="0.2">
      <c r="A38" s="14"/>
      <c r="B38" s="14"/>
      <c r="C38" s="27"/>
      <c r="D38" s="15"/>
      <c r="E38" s="15"/>
      <c r="F38" s="17"/>
      <c r="G38" s="40"/>
      <c r="H38" s="51"/>
    </row>
    <row r="39" spans="1:8" s="21" customFormat="1" ht="15" customHeight="1" x14ac:dyDescent="0.2">
      <c r="A39" s="14"/>
      <c r="B39" s="14"/>
      <c r="C39" s="27"/>
      <c r="D39" s="15"/>
      <c r="E39" s="15"/>
      <c r="F39" s="17"/>
      <c r="G39" s="19" t="s">
        <v>213</v>
      </c>
      <c r="H39" s="107" t="s">
        <v>3</v>
      </c>
    </row>
    <row r="40" spans="1:8" s="21" customFormat="1" ht="15" customHeight="1" x14ac:dyDescent="0.2">
      <c r="A40" s="14"/>
      <c r="B40" s="14"/>
      <c r="C40" s="27"/>
      <c r="D40" s="15"/>
      <c r="E40" s="15"/>
      <c r="F40" s="17"/>
      <c r="G40" s="85"/>
      <c r="H40" s="82"/>
    </row>
    <row r="41" spans="1:8" s="21" customFormat="1" ht="15" customHeight="1" x14ac:dyDescent="0.2">
      <c r="A41" s="14"/>
      <c r="B41" s="14"/>
      <c r="C41" s="27"/>
      <c r="D41" s="15"/>
      <c r="E41" s="15"/>
      <c r="F41" s="17"/>
      <c r="G41" s="392" t="str">
        <f>CONCATENATE("Sub-Total ",G39)</f>
        <v>Sub-Total Other Personal Assets</v>
      </c>
      <c r="H41" s="393">
        <f>SUM(PersOth[Current Value])</f>
        <v>0</v>
      </c>
    </row>
    <row r="42" spans="1:8" ht="15" customHeight="1" x14ac:dyDescent="0.2">
      <c r="B42" s="14"/>
      <c r="G42" s="24"/>
      <c r="H42" s="46"/>
    </row>
    <row r="43" spans="1:8" ht="15" customHeight="1" x14ac:dyDescent="0.2">
      <c r="B43" s="14"/>
    </row>
    <row r="44" spans="1:8" ht="15" customHeight="1" x14ac:dyDescent="0.2">
      <c r="B44" s="14"/>
    </row>
    <row r="45" spans="1:8" ht="15" customHeight="1" x14ac:dyDescent="0.2">
      <c r="B45" s="14"/>
    </row>
    <row r="46" spans="1:8" ht="15" customHeight="1" x14ac:dyDescent="0.2">
      <c r="B46" s="14"/>
    </row>
    <row r="47" spans="1:8" ht="15" customHeight="1" x14ac:dyDescent="0.2">
      <c r="B47" s="14"/>
    </row>
    <row r="48" spans="1:8" ht="15" customHeight="1" x14ac:dyDescent="0.2">
      <c r="B48" s="14"/>
    </row>
    <row r="49" spans="2:2" ht="15" customHeight="1" x14ac:dyDescent="0.2">
      <c r="B49" s="14"/>
    </row>
    <row r="50" spans="2:2" ht="15" customHeight="1" x14ac:dyDescent="0.2">
      <c r="B50" s="14"/>
    </row>
    <row r="51" spans="2:2" ht="15" customHeight="1" x14ac:dyDescent="0.2">
      <c r="B51" s="14"/>
    </row>
    <row r="52" spans="2:2" ht="15" customHeight="1" x14ac:dyDescent="0.2">
      <c r="B52" s="14"/>
    </row>
    <row r="53" spans="2:2" ht="15" customHeight="1" x14ac:dyDescent="0.2">
      <c r="B53" s="14"/>
    </row>
    <row r="54" spans="2:2" ht="15" customHeight="1" x14ac:dyDescent="0.2">
      <c r="B54" s="14"/>
    </row>
    <row r="55" spans="2:2" ht="15" customHeight="1" x14ac:dyDescent="0.2">
      <c r="B55" s="14"/>
    </row>
    <row r="56" spans="2:2" ht="15" customHeight="1" x14ac:dyDescent="0.2">
      <c r="B56" s="14"/>
    </row>
    <row r="57" spans="2:2" ht="15" customHeight="1" x14ac:dyDescent="0.2">
      <c r="B57" s="14"/>
    </row>
    <row r="58" spans="2:2" ht="15" customHeight="1" x14ac:dyDescent="0.2">
      <c r="B58" s="14"/>
    </row>
    <row r="59" spans="2:2" ht="15" customHeight="1" x14ac:dyDescent="0.2">
      <c r="B59" s="14"/>
    </row>
    <row r="60" spans="2:2" ht="15" customHeight="1" x14ac:dyDescent="0.2">
      <c r="B60" s="14"/>
    </row>
    <row r="61" spans="2:2" ht="15" customHeight="1" x14ac:dyDescent="0.2">
      <c r="B61" s="14"/>
    </row>
    <row r="62" spans="2:2" ht="15" customHeight="1" x14ac:dyDescent="0.2">
      <c r="B62" s="14"/>
    </row>
    <row r="63" spans="2:2" ht="15" customHeight="1" x14ac:dyDescent="0.2">
      <c r="B63" s="14"/>
    </row>
    <row r="64" spans="2:2" ht="15" customHeight="1" x14ac:dyDescent="0.2">
      <c r="B64" s="14"/>
    </row>
    <row r="65" spans="2:2" ht="15" customHeight="1" x14ac:dyDescent="0.2">
      <c r="B65" s="14"/>
    </row>
    <row r="66" spans="2:2" ht="15" customHeight="1" x14ac:dyDescent="0.2">
      <c r="B66" s="14"/>
    </row>
    <row r="67" spans="2:2" ht="15" customHeight="1" x14ac:dyDescent="0.2">
      <c r="B67" s="14"/>
    </row>
    <row r="68" spans="2:2" ht="15" customHeight="1" x14ac:dyDescent="0.2">
      <c r="B68" s="14"/>
    </row>
    <row r="69" spans="2:2" ht="15" customHeight="1" x14ac:dyDescent="0.2">
      <c r="B69" s="14"/>
    </row>
    <row r="70" spans="2:2" ht="15" customHeight="1" x14ac:dyDescent="0.2">
      <c r="B70" s="14"/>
    </row>
    <row r="71" spans="2:2" ht="15" customHeight="1" x14ac:dyDescent="0.2">
      <c r="B71" s="14"/>
    </row>
    <row r="72" spans="2:2" ht="15" customHeight="1" x14ac:dyDescent="0.2">
      <c r="B72" s="14"/>
    </row>
    <row r="73" spans="2:2" ht="15" customHeight="1" x14ac:dyDescent="0.2">
      <c r="B73" s="14"/>
    </row>
    <row r="74" spans="2:2" ht="15" customHeight="1" x14ac:dyDescent="0.2">
      <c r="B74" s="14"/>
    </row>
    <row r="75" spans="2:2" ht="15" customHeight="1" x14ac:dyDescent="0.2">
      <c r="B75" s="14"/>
    </row>
    <row r="76" spans="2:2" ht="15" customHeight="1" x14ac:dyDescent="0.2">
      <c r="B76" s="14"/>
    </row>
    <row r="77" spans="2:2" ht="15" customHeight="1" x14ac:dyDescent="0.2">
      <c r="B77" s="14"/>
    </row>
    <row r="78" spans="2:2" ht="15" customHeight="1" x14ac:dyDescent="0.2">
      <c r="B78" s="14"/>
    </row>
    <row r="79" spans="2:2" ht="15" customHeight="1" x14ac:dyDescent="0.2">
      <c r="B79" s="14"/>
    </row>
    <row r="80" spans="2:2" ht="15" customHeight="1" x14ac:dyDescent="0.2">
      <c r="B80" s="14"/>
    </row>
    <row r="81" spans="2:2" ht="15" customHeight="1" x14ac:dyDescent="0.2">
      <c r="B81" s="14"/>
    </row>
    <row r="82" spans="2:2" ht="15" customHeight="1" x14ac:dyDescent="0.2">
      <c r="B82" s="14"/>
    </row>
    <row r="83" spans="2:2" ht="15" customHeight="1" x14ac:dyDescent="0.2">
      <c r="B83" s="14"/>
    </row>
    <row r="84" spans="2:2" ht="15" customHeight="1" x14ac:dyDescent="0.2">
      <c r="B84" s="14"/>
    </row>
    <row r="85" spans="2:2" ht="15" customHeight="1" x14ac:dyDescent="0.2">
      <c r="B85" s="14"/>
    </row>
    <row r="86" spans="2:2" ht="15" customHeight="1" x14ac:dyDescent="0.2">
      <c r="B86" s="14"/>
    </row>
    <row r="87" spans="2:2" ht="15" customHeight="1" x14ac:dyDescent="0.2">
      <c r="B87" s="14"/>
    </row>
    <row r="88" spans="2:2" ht="15" customHeight="1" x14ac:dyDescent="0.2">
      <c r="B88" s="14"/>
    </row>
    <row r="89" spans="2:2" ht="15" customHeight="1" x14ac:dyDescent="0.2">
      <c r="B89" s="14"/>
    </row>
    <row r="90" spans="2:2" ht="15" customHeight="1" x14ac:dyDescent="0.2">
      <c r="B90" s="14"/>
    </row>
    <row r="91" spans="2:2" ht="15" customHeight="1" x14ac:dyDescent="0.2">
      <c r="B91" s="14"/>
    </row>
    <row r="92" spans="2:2" ht="15" customHeight="1" x14ac:dyDescent="0.2">
      <c r="B92" s="14"/>
    </row>
    <row r="93" spans="2:2" ht="15" customHeight="1" x14ac:dyDescent="0.2">
      <c r="B93" s="14"/>
    </row>
    <row r="94" spans="2:2" ht="15" customHeight="1" x14ac:dyDescent="0.2">
      <c r="B94" s="14"/>
    </row>
    <row r="95" spans="2:2" ht="15" customHeight="1" x14ac:dyDescent="0.2">
      <c r="B95" s="14"/>
    </row>
    <row r="96" spans="2:2" ht="15" customHeight="1" x14ac:dyDescent="0.2">
      <c r="B96" s="14"/>
    </row>
    <row r="97" spans="2:2" ht="15" customHeight="1" x14ac:dyDescent="0.2">
      <c r="B97" s="14"/>
    </row>
    <row r="98" spans="2:2" ht="15" customHeight="1" x14ac:dyDescent="0.2">
      <c r="B98" s="14"/>
    </row>
    <row r="99" spans="2:2" ht="15" customHeight="1" x14ac:dyDescent="0.2">
      <c r="B99" s="14"/>
    </row>
    <row r="100" spans="2:2" ht="15" customHeight="1" x14ac:dyDescent="0.2">
      <c r="B100" s="14"/>
    </row>
    <row r="101" spans="2:2" ht="15" customHeight="1" x14ac:dyDescent="0.2">
      <c r="B101" s="14"/>
    </row>
    <row r="102" spans="2:2" ht="15" customHeight="1" x14ac:dyDescent="0.2">
      <c r="B102" s="14"/>
    </row>
    <row r="103" spans="2:2" ht="15" customHeight="1" x14ac:dyDescent="0.2">
      <c r="B103" s="14"/>
    </row>
    <row r="104" spans="2:2" ht="15" customHeight="1" x14ac:dyDescent="0.2">
      <c r="B104" s="14"/>
    </row>
    <row r="105" spans="2:2" ht="15" customHeight="1" x14ac:dyDescent="0.2">
      <c r="B105" s="14"/>
    </row>
    <row r="106" spans="2:2" ht="15" customHeight="1" x14ac:dyDescent="0.2">
      <c r="B106" s="14"/>
    </row>
    <row r="107" spans="2:2" ht="15" customHeight="1" x14ac:dyDescent="0.2">
      <c r="B107" s="14"/>
    </row>
    <row r="108" spans="2:2" ht="15" customHeight="1" x14ac:dyDescent="0.2">
      <c r="B108" s="14"/>
    </row>
    <row r="109" spans="2:2" ht="15" customHeight="1" x14ac:dyDescent="0.2">
      <c r="B109" s="14"/>
    </row>
    <row r="110" spans="2:2" ht="15" customHeight="1" x14ac:dyDescent="0.2">
      <c r="B110" s="14"/>
    </row>
    <row r="111" spans="2:2" ht="15" customHeight="1" x14ac:dyDescent="0.2">
      <c r="B111" s="14"/>
    </row>
    <row r="112" spans="2:2" ht="15" customHeight="1" x14ac:dyDescent="0.2">
      <c r="B112" s="14"/>
    </row>
    <row r="113" spans="2:2" ht="15" customHeight="1" x14ac:dyDescent="0.2">
      <c r="B113" s="14"/>
    </row>
    <row r="114" spans="2:2" ht="15" customHeight="1" x14ac:dyDescent="0.2">
      <c r="B114" s="14"/>
    </row>
    <row r="115" spans="2:2" ht="15" customHeight="1" x14ac:dyDescent="0.2">
      <c r="B115" s="14"/>
    </row>
    <row r="116" spans="2:2" ht="15" customHeight="1" x14ac:dyDescent="0.2">
      <c r="B116" s="14"/>
    </row>
    <row r="117" spans="2:2" ht="15" customHeight="1" x14ac:dyDescent="0.2">
      <c r="B117" s="14"/>
    </row>
  </sheetData>
  <mergeCells count="1">
    <mergeCell ref="A2:B2"/>
  </mergeCells>
  <phoneticPr fontId="11" type="noConversion"/>
  <pageMargins left="0.75" right="0.75" top="1" bottom="1" header="0.5" footer="0.5"/>
  <pageSetup orientation="portrait" horizontalDpi="4294967293" r:id="rId1"/>
  <headerFooter alignWithMargins="0"/>
  <rowBreaks count="1" manualBreakCount="1">
    <brk id="34" max="16383" man="1"/>
  </rowBreaks>
  <drawing r:id="rId2"/>
  <tableParts count="2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B1B0"/>
  </sheetPr>
  <dimension ref="A1:K149"/>
  <sheetViews>
    <sheetView showGridLines="0" zoomScaleNormal="100" workbookViewId="0">
      <pane ySplit="5" topLeftCell="A6" activePane="bottomLeft" state="frozen"/>
      <selection pane="bottomLeft" activeCell="E16" sqref="E16"/>
    </sheetView>
  </sheetViews>
  <sheetFormatPr defaultColWidth="8.85546875" defaultRowHeight="15" customHeight="1" x14ac:dyDescent="0.2"/>
  <cols>
    <col min="1" max="1" width="49.7109375" style="83" customWidth="1"/>
    <col min="2" max="2" width="16.7109375" style="126" customWidth="1"/>
    <col min="3" max="3" width="8.85546875" style="83"/>
    <col min="4" max="4" width="49.7109375" style="83" customWidth="1"/>
    <col min="5" max="5" width="16.7109375" style="83" customWidth="1"/>
    <col min="6" max="7" width="8.85546875" style="83"/>
    <col min="8" max="8" width="10" style="83" bestFit="1" customWidth="1"/>
    <col min="9" max="9" width="12.42578125" style="83" customWidth="1"/>
    <col min="10" max="10" width="14.85546875" style="83" bestFit="1" customWidth="1"/>
    <col min="11" max="11" width="13.28515625" style="83" customWidth="1"/>
    <col min="12" max="16384" width="8.85546875" style="83"/>
  </cols>
  <sheetData>
    <row r="1" spans="1:11" s="47" customFormat="1" ht="27" customHeight="1" x14ac:dyDescent="0.3">
      <c r="A1" s="119" t="s">
        <v>304</v>
      </c>
      <c r="B1" s="120"/>
      <c r="E1" s="43"/>
    </row>
    <row r="2" spans="1:11" s="31" customFormat="1" ht="15" customHeight="1" x14ac:dyDescent="0.2">
      <c r="A2" s="674" t="str">
        <f>IF(Name&gt;"",Name,IF(BusName&gt;"",BusName,""))</f>
        <v/>
      </c>
      <c r="B2" s="674"/>
    </row>
    <row r="3" spans="1:11" s="31" customFormat="1" ht="15" customHeight="1" x14ac:dyDescent="0.2">
      <c r="A3" s="118" t="s">
        <v>181</v>
      </c>
      <c r="B3" s="117">
        <f ca="1">GenDate</f>
        <v>42421</v>
      </c>
      <c r="C3" s="121"/>
      <c r="D3" s="15" t="s">
        <v>303</v>
      </c>
    </row>
    <row r="4" spans="1:11" s="31" customFormat="1" ht="5.0999999999999996" customHeight="1" x14ac:dyDescent="0.2">
      <c r="A4" s="35"/>
      <c r="B4" s="122"/>
      <c r="C4" s="121"/>
    </row>
    <row r="5" spans="1:11" s="31" customFormat="1" ht="15" customHeight="1" x14ac:dyDescent="0.2">
      <c r="A5" s="112" t="s">
        <v>167</v>
      </c>
      <c r="C5" s="121"/>
      <c r="D5" s="112" t="s">
        <v>70</v>
      </c>
      <c r="F5" s="45"/>
    </row>
    <row r="6" spans="1:11" s="31" customFormat="1" ht="15" customHeight="1" x14ac:dyDescent="0.2">
      <c r="A6" s="112"/>
      <c r="C6" s="121"/>
      <c r="D6" s="88"/>
      <c r="E6" s="111"/>
      <c r="F6" s="45"/>
    </row>
    <row r="7" spans="1:11" s="14" customFormat="1" ht="15" customHeight="1" x14ac:dyDescent="0.2">
      <c r="A7" s="19" t="s">
        <v>224</v>
      </c>
      <c r="B7" s="127" t="s">
        <v>166</v>
      </c>
      <c r="C7" s="36"/>
      <c r="D7" s="19" t="s">
        <v>187</v>
      </c>
      <c r="E7" s="127" t="s">
        <v>166</v>
      </c>
      <c r="F7" s="36"/>
    </row>
    <row r="8" spans="1:11" s="18" customFormat="1" ht="15" customHeight="1" x14ac:dyDescent="0.2">
      <c r="A8" s="89"/>
      <c r="B8" s="123"/>
      <c r="C8" s="38"/>
      <c r="D8" s="89"/>
      <c r="E8" s="123"/>
      <c r="F8" s="38"/>
    </row>
    <row r="9" spans="1:11" s="18" customFormat="1" ht="15" customHeight="1" x14ac:dyDescent="0.2">
      <c r="A9" s="392" t="str">
        <f>CONCATENATE("Sub-Total ",A7)</f>
        <v>Sub-Total Accounts Payable (processor,suppliers, etc.)</v>
      </c>
      <c r="B9" s="393">
        <f>SUM(CLAP[Balance])</f>
        <v>0</v>
      </c>
      <c r="C9" s="37"/>
      <c r="D9" s="392" t="str">
        <f>CONCATENATE("Sub-Total ",D7)</f>
        <v>Sub-Total Personal Accounts Payable</v>
      </c>
      <c r="E9" s="393">
        <f>SUM(PersLAP[Balance])</f>
        <v>0</v>
      </c>
      <c r="F9" s="37"/>
      <c r="G9" s="21"/>
    </row>
    <row r="10" spans="1:11" s="14" customFormat="1" ht="15" customHeight="1" x14ac:dyDescent="0.2">
      <c r="A10" s="88"/>
      <c r="B10" s="111"/>
      <c r="C10" s="36"/>
      <c r="D10" s="39"/>
      <c r="E10" s="110"/>
      <c r="F10" s="36"/>
      <c r="G10" s="28"/>
      <c r="H10" s="28"/>
      <c r="I10" s="28"/>
    </row>
    <row r="11" spans="1:11" s="14" customFormat="1" ht="15" customHeight="1" x14ac:dyDescent="0.2">
      <c r="A11" s="19" t="s">
        <v>36</v>
      </c>
      <c r="B11" s="127" t="s">
        <v>166</v>
      </c>
      <c r="C11" s="36"/>
      <c r="D11" s="19" t="s">
        <v>42</v>
      </c>
      <c r="E11" s="127" t="s">
        <v>166</v>
      </c>
      <c r="F11" s="36"/>
      <c r="G11" s="28"/>
      <c r="H11" s="28"/>
      <c r="I11" s="28"/>
    </row>
    <row r="12" spans="1:11" s="14" customFormat="1" ht="15" customHeight="1" x14ac:dyDescent="0.2">
      <c r="A12" s="89"/>
      <c r="B12" s="34"/>
      <c r="C12" s="36"/>
      <c r="D12" s="89"/>
      <c r="E12" s="34"/>
      <c r="F12" s="36"/>
      <c r="G12" s="28"/>
      <c r="H12" s="28"/>
      <c r="I12" s="28"/>
    </row>
    <row r="13" spans="1:11" s="14" customFormat="1" ht="15" customHeight="1" x14ac:dyDescent="0.2">
      <c r="A13" s="392" t="str">
        <f>CONCATENATE("Sub-Total ",A11)</f>
        <v>Sub-Total Business Credit Card Debt</v>
      </c>
      <c r="B13" s="393">
        <f>SUM(CLBizCC[Balance])</f>
        <v>0</v>
      </c>
      <c r="C13" s="36"/>
      <c r="D13" s="392" t="str">
        <f>CONCATENATE("Sub-Total ",D11)</f>
        <v>Sub-Total Personal Credit Card Debt</v>
      </c>
      <c r="E13" s="393">
        <f>SUM(PersLCC[Balance])</f>
        <v>0</v>
      </c>
      <c r="F13" s="36"/>
      <c r="G13" s="28"/>
      <c r="H13" s="28"/>
      <c r="I13" s="28"/>
    </row>
    <row r="14" spans="1:11" s="14" customFormat="1" ht="15" customHeight="1" x14ac:dyDescent="0.2">
      <c r="A14" s="88"/>
      <c r="B14" s="111"/>
      <c r="C14" s="36"/>
      <c r="D14" s="22"/>
      <c r="E14" s="48"/>
      <c r="F14" s="36"/>
      <c r="G14" s="28"/>
      <c r="H14" s="28"/>
      <c r="I14" s="28"/>
    </row>
    <row r="15" spans="1:11" s="14" customFormat="1" ht="15" customHeight="1" x14ac:dyDescent="0.2">
      <c r="A15" s="19" t="s">
        <v>55</v>
      </c>
      <c r="B15" s="127" t="s">
        <v>166</v>
      </c>
      <c r="C15" s="36"/>
      <c r="D15" s="19" t="s">
        <v>43</v>
      </c>
      <c r="E15" s="127" t="s">
        <v>166</v>
      </c>
      <c r="F15" s="36"/>
      <c r="G15" s="28"/>
      <c r="H15" s="21"/>
      <c r="I15" s="21"/>
      <c r="J15" s="18"/>
      <c r="K15" s="18"/>
    </row>
    <row r="16" spans="1:11" s="18" customFormat="1" ht="15" customHeight="1" x14ac:dyDescent="0.2">
      <c r="A16" s="89"/>
      <c r="B16" s="34"/>
      <c r="C16" s="37"/>
      <c r="D16" s="89"/>
      <c r="E16" s="34"/>
      <c r="F16" s="37"/>
      <c r="G16" s="21"/>
      <c r="H16" s="21"/>
      <c r="I16" s="21"/>
    </row>
    <row r="17" spans="1:11" s="18" customFormat="1" ht="15" customHeight="1" x14ac:dyDescent="0.2">
      <c r="A17" s="392" t="str">
        <f>CONCATENATE("Sub-Total ",A15)</f>
        <v>Sub-Total Taxes &amp; Assessments Payable</v>
      </c>
      <c r="B17" s="393">
        <f>SUM(CLTaxes[Balance])</f>
        <v>0</v>
      </c>
      <c r="C17" s="37"/>
      <c r="D17" s="392" t="str">
        <f>CONCATENATE("Sub-Total ",D15)</f>
        <v>Sub-Total Personal Taxes Payable</v>
      </c>
      <c r="E17" s="393">
        <f>SUM(PersLTaxes[Balance])</f>
        <v>0</v>
      </c>
      <c r="F17" s="37"/>
      <c r="G17" s="21"/>
      <c r="H17" s="21"/>
      <c r="I17" s="21"/>
    </row>
    <row r="18" spans="1:11" s="18" customFormat="1" ht="15" customHeight="1" x14ac:dyDescent="0.2">
      <c r="A18" s="88"/>
      <c r="B18" s="111"/>
      <c r="C18" s="37"/>
      <c r="D18" s="88"/>
      <c r="E18" s="111"/>
      <c r="F18" s="37"/>
      <c r="G18" s="21"/>
      <c r="H18" s="21"/>
      <c r="I18" s="21"/>
    </row>
    <row r="19" spans="1:11" s="18" customFormat="1" ht="15" customHeight="1" x14ac:dyDescent="0.2">
      <c r="A19" s="19" t="s">
        <v>46</v>
      </c>
      <c r="B19" s="127" t="s">
        <v>166</v>
      </c>
      <c r="C19" s="37"/>
      <c r="D19" s="19" t="s">
        <v>47</v>
      </c>
      <c r="E19" s="127" t="s">
        <v>166</v>
      </c>
      <c r="F19" s="37"/>
      <c r="G19" s="21"/>
      <c r="H19" s="28"/>
      <c r="I19" s="28"/>
      <c r="J19" s="14"/>
      <c r="K19" s="14"/>
    </row>
    <row r="20" spans="1:11" s="14" customFormat="1" ht="15" customHeight="1" x14ac:dyDescent="0.2">
      <c r="A20" s="89"/>
      <c r="B20" s="34"/>
      <c r="C20" s="36"/>
      <c r="D20" s="89"/>
      <c r="E20" s="34"/>
      <c r="F20" s="36"/>
      <c r="G20" s="28"/>
      <c r="H20" s="28"/>
      <c r="I20" s="28"/>
    </row>
    <row r="21" spans="1:11" s="14" customFormat="1" ht="15" customHeight="1" x14ac:dyDescent="0.2">
      <c r="A21" s="392" t="str">
        <f>CONCATENATE("Sub-Total ",A19)</f>
        <v>Sub-Total Other Current Fishing Liabilities</v>
      </c>
      <c r="B21" s="400">
        <f>SUM(CLOthCur[Balance])</f>
        <v>0</v>
      </c>
      <c r="C21" s="36"/>
      <c r="D21" s="392" t="str">
        <f>CONCATENATE("Sub-Total ",D19)</f>
        <v>Sub-Total Other Personal Liabilities</v>
      </c>
      <c r="E21" s="400">
        <f>SUM(PersLOth[Balance])</f>
        <v>0</v>
      </c>
      <c r="F21" s="36"/>
      <c r="G21" s="28"/>
      <c r="H21" s="28"/>
      <c r="I21" s="28"/>
    </row>
    <row r="22" spans="1:11" s="14" customFormat="1" ht="15" customHeight="1" x14ac:dyDescent="0.2">
      <c r="A22" s="22"/>
      <c r="B22" s="49"/>
      <c r="C22" s="36"/>
      <c r="D22" s="22"/>
      <c r="E22" s="49"/>
      <c r="F22" s="36"/>
      <c r="G22" s="28"/>
      <c r="H22" s="21"/>
      <c r="I22" s="21"/>
      <c r="J22" s="18"/>
      <c r="K22" s="18"/>
    </row>
    <row r="23" spans="1:11" s="18" customFormat="1" ht="15" customHeight="1" x14ac:dyDescent="0.2">
      <c r="A23" s="19" t="s">
        <v>186</v>
      </c>
      <c r="B23" s="127" t="s">
        <v>166</v>
      </c>
      <c r="C23" s="37"/>
      <c r="D23" s="37"/>
      <c r="E23" s="37"/>
      <c r="F23" s="37"/>
      <c r="G23" s="21"/>
      <c r="H23" s="28"/>
      <c r="I23" s="28"/>
      <c r="J23" s="14"/>
      <c r="K23" s="14"/>
    </row>
    <row r="24" spans="1:11" s="14" customFormat="1" ht="15" customHeight="1" x14ac:dyDescent="0.2">
      <c r="A24" s="89"/>
      <c r="B24" s="34"/>
      <c r="C24" s="36"/>
      <c r="D24" s="37"/>
      <c r="E24" s="37"/>
      <c r="F24" s="36"/>
      <c r="G24" s="28"/>
      <c r="H24" s="28"/>
      <c r="I24" s="28"/>
    </row>
    <row r="25" spans="1:11" s="14" customFormat="1" ht="15" customHeight="1" x14ac:dyDescent="0.2">
      <c r="A25" s="392" t="str">
        <f>CONCATENATE("Sub-Total ",A23)</f>
        <v>Sub-Total Other Non-Current Fishing Liabilities</v>
      </c>
      <c r="B25" s="400">
        <f>SUM(NCOthLiab[Balance])</f>
        <v>0</v>
      </c>
      <c r="C25" s="36"/>
      <c r="D25" s="37"/>
      <c r="E25" s="37"/>
      <c r="F25" s="36"/>
      <c r="G25" s="28"/>
      <c r="H25" s="28"/>
      <c r="I25" s="28"/>
    </row>
    <row r="26" spans="1:11" s="14" customFormat="1" ht="15" customHeight="1" x14ac:dyDescent="0.2">
      <c r="A26" s="19"/>
      <c r="B26" s="49"/>
      <c r="C26" s="36"/>
      <c r="D26" s="37"/>
      <c r="E26" s="37"/>
      <c r="F26" s="36"/>
      <c r="G26" s="28"/>
      <c r="H26" s="21"/>
      <c r="I26" s="21"/>
      <c r="J26" s="18"/>
      <c r="K26" s="18"/>
    </row>
    <row r="27" spans="1:11" s="14" customFormat="1" ht="15" customHeight="1" x14ac:dyDescent="0.2">
      <c r="A27" s="19"/>
      <c r="B27" s="49"/>
      <c r="C27" s="124"/>
      <c r="D27" s="37"/>
      <c r="E27" s="37"/>
      <c r="F27" s="37"/>
      <c r="G27" s="21"/>
      <c r="H27" s="21"/>
      <c r="I27" s="21"/>
      <c r="J27" s="18"/>
      <c r="K27" s="18"/>
    </row>
    <row r="28" spans="1:11" s="14" customFormat="1" ht="15" customHeight="1" x14ac:dyDescent="0.2">
      <c r="A28" s="47"/>
      <c r="B28" s="47"/>
      <c r="C28" s="124"/>
      <c r="D28" s="37"/>
      <c r="E28" s="37"/>
      <c r="F28" s="37"/>
      <c r="G28" s="21"/>
      <c r="H28" s="28"/>
      <c r="I28" s="28"/>
    </row>
    <row r="29" spans="1:11" s="14" customFormat="1" ht="15" customHeight="1" x14ac:dyDescent="0.2">
      <c r="C29" s="36"/>
      <c r="D29" s="37"/>
      <c r="E29" s="37"/>
      <c r="F29" s="36"/>
      <c r="G29" s="28"/>
      <c r="H29" s="28"/>
      <c r="I29" s="28"/>
    </row>
    <row r="30" spans="1:11" s="14" customFormat="1" ht="15" customHeight="1" x14ac:dyDescent="0.2">
      <c r="C30" s="36"/>
      <c r="D30" s="36"/>
      <c r="E30" s="36"/>
      <c r="F30" s="36"/>
      <c r="G30" s="28"/>
      <c r="H30" s="28"/>
      <c r="I30" s="28"/>
    </row>
    <row r="31" spans="1:11" s="14" customFormat="1" ht="15" customHeight="1" x14ac:dyDescent="0.2">
      <c r="C31" s="36"/>
      <c r="D31" s="36"/>
      <c r="E31" s="36"/>
      <c r="F31" s="36"/>
      <c r="G31" s="28"/>
      <c r="H31" s="21"/>
      <c r="I31" s="21"/>
      <c r="J31" s="18"/>
      <c r="K31" s="18"/>
    </row>
    <row r="32" spans="1:11" s="18" customFormat="1" ht="15" customHeight="1" x14ac:dyDescent="0.2">
      <c r="A32" s="14"/>
      <c r="B32" s="14"/>
      <c r="C32" s="37"/>
      <c r="D32" s="36"/>
      <c r="E32" s="36"/>
      <c r="F32" s="37"/>
      <c r="G32" s="21"/>
      <c r="H32" s="21"/>
      <c r="I32" s="21"/>
    </row>
    <row r="33" spans="1:11" s="18" customFormat="1" ht="15" customHeight="1" x14ac:dyDescent="0.2">
      <c r="A33" s="14"/>
      <c r="B33" s="14"/>
      <c r="C33" s="37"/>
      <c r="D33" s="36"/>
      <c r="E33" s="36"/>
      <c r="F33" s="37"/>
      <c r="G33" s="21"/>
      <c r="H33" s="28"/>
      <c r="I33" s="28"/>
      <c r="J33" s="14"/>
      <c r="K33" s="14"/>
    </row>
    <row r="34" spans="1:11" s="14" customFormat="1" ht="15" customHeight="1" x14ac:dyDescent="0.2">
      <c r="C34" s="36"/>
      <c r="D34" s="36"/>
      <c r="E34" s="36"/>
      <c r="F34" s="36"/>
      <c r="G34" s="28"/>
      <c r="H34" s="28"/>
      <c r="I34" s="28"/>
    </row>
    <row r="35" spans="1:11" s="14" customFormat="1" ht="15" customHeight="1" x14ac:dyDescent="0.2">
      <c r="C35" s="36"/>
      <c r="D35" s="36"/>
      <c r="E35" s="36"/>
      <c r="F35" s="36"/>
      <c r="G35" s="28"/>
      <c r="H35" s="28"/>
      <c r="I35" s="28"/>
    </row>
    <row r="36" spans="1:11" s="14" customFormat="1" ht="15" customHeight="1" x14ac:dyDescent="0.2">
      <c r="C36" s="36"/>
      <c r="D36" s="36"/>
      <c r="E36" s="36"/>
      <c r="F36" s="36"/>
      <c r="G36" s="28"/>
      <c r="H36" s="28"/>
      <c r="I36" s="28"/>
    </row>
    <row r="37" spans="1:11" s="14" customFormat="1" ht="15" customHeight="1" x14ac:dyDescent="0.2">
      <c r="C37" s="36"/>
      <c r="D37" s="36"/>
      <c r="E37" s="36"/>
      <c r="F37" s="36"/>
      <c r="G37" s="28"/>
      <c r="H37" s="28"/>
      <c r="I37" s="28"/>
    </row>
    <row r="38" spans="1:11" s="14" customFormat="1" ht="15" customHeight="1" x14ac:dyDescent="0.2">
      <c r="A38" s="18"/>
      <c r="B38" s="18"/>
      <c r="C38" s="36"/>
      <c r="D38" s="36"/>
      <c r="E38" s="36"/>
      <c r="F38" s="36"/>
      <c r="G38" s="28"/>
      <c r="H38" s="28"/>
      <c r="I38" s="28"/>
    </row>
    <row r="39" spans="1:11" s="14" customFormat="1" ht="15" customHeight="1" x14ac:dyDescent="0.2">
      <c r="A39" s="18"/>
      <c r="B39" s="18"/>
      <c r="C39" s="36"/>
      <c r="D39" s="125"/>
      <c r="E39" s="36"/>
      <c r="F39" s="36"/>
      <c r="G39" s="28"/>
      <c r="H39" s="28"/>
      <c r="I39" s="28"/>
    </row>
    <row r="40" spans="1:11" s="14" customFormat="1" ht="15" customHeight="1" x14ac:dyDescent="0.2">
      <c r="A40" s="18"/>
      <c r="B40" s="18"/>
      <c r="C40" s="36"/>
      <c r="D40" s="125"/>
      <c r="E40" s="36"/>
      <c r="F40" s="36"/>
      <c r="G40" s="28"/>
      <c r="H40" s="28"/>
      <c r="I40" s="28"/>
    </row>
    <row r="41" spans="1:11" s="14" customFormat="1" ht="15" customHeight="1" x14ac:dyDescent="0.2">
      <c r="A41" s="18"/>
      <c r="B41" s="18"/>
      <c r="C41" s="36"/>
      <c r="D41" s="47"/>
      <c r="E41" s="47"/>
      <c r="F41" s="36"/>
      <c r="G41" s="28"/>
    </row>
    <row r="42" spans="1:11" s="14" customFormat="1" ht="15" customHeight="1" x14ac:dyDescent="0.2">
      <c r="C42" s="125"/>
      <c r="D42" s="45"/>
      <c r="E42" s="45"/>
      <c r="F42" s="125"/>
      <c r="H42" s="18"/>
      <c r="I42" s="18"/>
      <c r="J42" s="18"/>
      <c r="K42" s="18"/>
    </row>
    <row r="43" spans="1:11" s="18" customFormat="1" ht="15" customHeight="1" x14ac:dyDescent="0.2">
      <c r="A43" s="14"/>
      <c r="B43" s="14"/>
      <c r="C43" s="38"/>
      <c r="D43" s="36"/>
      <c r="E43" s="36"/>
      <c r="F43" s="38"/>
    </row>
    <row r="44" spans="1:11" s="18" customFormat="1" ht="15" customHeight="1" x14ac:dyDescent="0.2">
      <c r="A44" s="14"/>
      <c r="B44" s="14"/>
      <c r="C44" s="38"/>
      <c r="D44" s="36"/>
      <c r="E44" s="36"/>
      <c r="F44" s="38"/>
    </row>
    <row r="45" spans="1:11" s="18" customFormat="1" ht="15" customHeight="1" x14ac:dyDescent="0.2">
      <c r="A45" s="14"/>
      <c r="B45" s="14"/>
      <c r="C45" s="38"/>
      <c r="D45" s="37"/>
      <c r="E45" s="37"/>
      <c r="F45" s="38"/>
    </row>
    <row r="46" spans="1:11" s="18" customFormat="1" ht="15" customHeight="1" x14ac:dyDescent="0.2">
      <c r="A46" s="14"/>
      <c r="B46" s="14"/>
      <c r="C46" s="38"/>
      <c r="D46" s="37"/>
      <c r="E46" s="37"/>
      <c r="F46" s="38"/>
      <c r="H46" s="14"/>
      <c r="I46" s="14"/>
      <c r="J46" s="14"/>
      <c r="K46" s="14"/>
    </row>
    <row r="47" spans="1:11" s="14" customFormat="1" ht="15" customHeight="1" x14ac:dyDescent="0.2">
      <c r="C47" s="125"/>
      <c r="D47" s="37"/>
      <c r="E47" s="37"/>
      <c r="F47" s="125"/>
    </row>
    <row r="48" spans="1:11" s="14" customFormat="1" ht="15" customHeight="1" x14ac:dyDescent="0.2">
      <c r="C48" s="125"/>
      <c r="D48" s="36"/>
      <c r="E48" s="36"/>
      <c r="F48" s="125"/>
    </row>
    <row r="49" spans="1:11" s="14" customFormat="1" ht="15" customHeight="1" x14ac:dyDescent="0.2">
      <c r="C49" s="125"/>
      <c r="D49" s="36"/>
      <c r="E49" s="36"/>
      <c r="F49" s="125"/>
    </row>
    <row r="50" spans="1:11" s="14" customFormat="1" ht="15" customHeight="1" x14ac:dyDescent="0.2">
      <c r="A50" s="18"/>
      <c r="B50" s="18"/>
      <c r="C50" s="125"/>
      <c r="D50" s="36"/>
      <c r="E50" s="36"/>
      <c r="F50" s="125"/>
    </row>
    <row r="51" spans="1:11" s="14" customFormat="1" ht="15" customHeight="1" x14ac:dyDescent="0.2">
      <c r="A51" s="18"/>
      <c r="B51" s="18"/>
      <c r="C51" s="125"/>
      <c r="D51" s="37"/>
      <c r="E51" s="37"/>
      <c r="F51" s="125"/>
    </row>
    <row r="52" spans="1:11" s="14" customFormat="1" ht="15" customHeight="1" x14ac:dyDescent="0.2">
      <c r="A52" s="18"/>
      <c r="B52" s="18"/>
      <c r="C52" s="125"/>
      <c r="D52" s="37"/>
      <c r="E52" s="37"/>
      <c r="F52" s="125"/>
    </row>
    <row r="53" spans="1:11" s="14" customFormat="1" ht="15" customHeight="1" x14ac:dyDescent="0.2">
      <c r="A53" s="18"/>
      <c r="B53" s="18"/>
      <c r="C53" s="125"/>
      <c r="D53" s="37"/>
      <c r="E53" s="37"/>
      <c r="F53" s="125"/>
    </row>
    <row r="54" spans="1:11" s="14" customFormat="1" ht="15" customHeight="1" x14ac:dyDescent="0.2">
      <c r="A54" s="18"/>
      <c r="B54" s="18"/>
      <c r="C54" s="125"/>
      <c r="D54" s="36"/>
      <c r="E54" s="36"/>
      <c r="F54" s="125"/>
      <c r="H54" s="18"/>
      <c r="I54" s="18"/>
      <c r="J54" s="18"/>
      <c r="K54" s="18"/>
    </row>
    <row r="55" spans="1:11" s="18" customFormat="1" ht="15" customHeight="1" x14ac:dyDescent="0.2">
      <c r="C55" s="37"/>
      <c r="D55" s="36"/>
      <c r="E55" s="36"/>
    </row>
    <row r="56" spans="1:11" s="18" customFormat="1" ht="15" customHeight="1" x14ac:dyDescent="0.2">
      <c r="C56" s="37"/>
      <c r="D56" s="36"/>
      <c r="E56" s="36"/>
      <c r="F56" s="37"/>
    </row>
    <row r="57" spans="1:11" s="18" customFormat="1" ht="15" customHeight="1" x14ac:dyDescent="0.2">
      <c r="C57" s="37"/>
      <c r="D57" s="37"/>
      <c r="E57" s="37"/>
      <c r="F57" s="37"/>
    </row>
    <row r="58" spans="1:11" s="18" customFormat="1" ht="15" customHeight="1" x14ac:dyDescent="0.2">
      <c r="C58" s="37"/>
      <c r="D58" s="37"/>
      <c r="E58" s="37"/>
      <c r="F58" s="37"/>
    </row>
    <row r="59" spans="1:11" s="18" customFormat="1" ht="15" customHeight="1" x14ac:dyDescent="0.2">
      <c r="C59" s="37"/>
      <c r="D59" s="37"/>
      <c r="E59" s="37"/>
      <c r="F59" s="37"/>
    </row>
    <row r="60" spans="1:11" s="18" customFormat="1" ht="15" customHeight="1" x14ac:dyDescent="0.2">
      <c r="C60" s="37"/>
      <c r="D60" s="36"/>
      <c r="E60" s="36"/>
      <c r="F60" s="37"/>
    </row>
    <row r="61" spans="1:11" s="18" customFormat="1" ht="15" customHeight="1" x14ac:dyDescent="0.2">
      <c r="C61" s="37"/>
      <c r="D61" s="36"/>
      <c r="E61" s="36"/>
      <c r="F61" s="37"/>
    </row>
    <row r="62" spans="1:11" s="18" customFormat="1" ht="15" customHeight="1" x14ac:dyDescent="0.2">
      <c r="C62" s="37"/>
      <c r="D62" s="36"/>
      <c r="E62" s="36"/>
      <c r="F62" s="37"/>
    </row>
    <row r="63" spans="1:11" s="18" customFormat="1" ht="15" customHeight="1" x14ac:dyDescent="0.2">
      <c r="C63" s="37"/>
      <c r="D63" s="37"/>
      <c r="E63" s="37"/>
      <c r="F63" s="37"/>
    </row>
    <row r="64" spans="1:11" s="18" customFormat="1" ht="15" customHeight="1" x14ac:dyDescent="0.2">
      <c r="C64" s="37"/>
      <c r="D64" s="37"/>
      <c r="E64" s="37"/>
      <c r="F64" s="37"/>
    </row>
    <row r="65" spans="1:11" s="18" customFormat="1" ht="15" customHeight="1" x14ac:dyDescent="0.2">
      <c r="C65" s="37"/>
      <c r="D65" s="36"/>
      <c r="E65" s="36"/>
      <c r="F65" s="37"/>
    </row>
    <row r="66" spans="1:11" s="18" customFormat="1" ht="15" customHeight="1" x14ac:dyDescent="0.2">
      <c r="C66" s="37"/>
      <c r="D66" s="36"/>
      <c r="E66" s="36"/>
      <c r="F66" s="37"/>
    </row>
    <row r="67" spans="1:11" s="18" customFormat="1" ht="15" customHeight="1" x14ac:dyDescent="0.2">
      <c r="C67" s="37"/>
      <c r="D67" s="125"/>
      <c r="E67" s="125"/>
      <c r="F67" s="37"/>
    </row>
    <row r="68" spans="1:11" s="18" customFormat="1" ht="15" customHeight="1" x14ac:dyDescent="0.2">
      <c r="C68" s="37"/>
      <c r="D68" s="38"/>
      <c r="E68" s="38"/>
      <c r="F68" s="37"/>
    </row>
    <row r="69" spans="1:11" s="18" customFormat="1" ht="15" customHeight="1" x14ac:dyDescent="0.2">
      <c r="C69" s="37"/>
      <c r="D69" s="38"/>
      <c r="E69" s="38"/>
      <c r="F69" s="37"/>
    </row>
    <row r="70" spans="1:11" s="18" customFormat="1" ht="15" customHeight="1" x14ac:dyDescent="0.2">
      <c r="C70" s="37"/>
      <c r="D70" s="38"/>
      <c r="E70" s="38"/>
      <c r="F70" s="37"/>
    </row>
    <row r="71" spans="1:11" s="18" customFormat="1" ht="15" customHeight="1" x14ac:dyDescent="0.2">
      <c r="A71" s="14"/>
      <c r="B71" s="14"/>
      <c r="C71" s="37"/>
      <c r="D71" s="125"/>
      <c r="E71" s="125"/>
      <c r="F71" s="37"/>
    </row>
    <row r="72" spans="1:11" s="18" customFormat="1" ht="15" customHeight="1" x14ac:dyDescent="0.2">
      <c r="A72" s="14"/>
      <c r="B72" s="14"/>
      <c r="C72" s="37"/>
      <c r="D72" s="125"/>
      <c r="E72" s="125"/>
      <c r="F72" s="37"/>
    </row>
    <row r="73" spans="1:11" s="18" customFormat="1" ht="15" customHeight="1" x14ac:dyDescent="0.2">
      <c r="A73" s="14"/>
      <c r="B73" s="14"/>
      <c r="C73" s="37"/>
      <c r="D73" s="125"/>
      <c r="E73" s="125"/>
      <c r="F73" s="37"/>
    </row>
    <row r="74" spans="1:11" s="18" customFormat="1" ht="15" customHeight="1" x14ac:dyDescent="0.2">
      <c r="A74" s="14"/>
      <c r="B74" s="14"/>
      <c r="C74" s="37"/>
      <c r="D74" s="125"/>
      <c r="E74" s="125"/>
      <c r="F74" s="37"/>
    </row>
    <row r="75" spans="1:11" s="18" customFormat="1" ht="15" customHeight="1" x14ac:dyDescent="0.2">
      <c r="A75" s="14"/>
      <c r="B75" s="14"/>
      <c r="C75" s="37"/>
      <c r="D75" s="125"/>
      <c r="E75" s="125"/>
      <c r="F75" s="37"/>
      <c r="H75" s="14"/>
      <c r="I75" s="14"/>
      <c r="J75" s="14"/>
      <c r="K75" s="14"/>
    </row>
    <row r="76" spans="1:11" s="14" customFormat="1" ht="15" customHeight="1" x14ac:dyDescent="0.2">
      <c r="C76" s="36"/>
      <c r="D76" s="125"/>
      <c r="E76" s="125"/>
      <c r="F76" s="36"/>
    </row>
    <row r="77" spans="1:11" s="14" customFormat="1" ht="15" customHeight="1" x14ac:dyDescent="0.2">
      <c r="C77" s="36"/>
      <c r="D77" s="125"/>
      <c r="E77" s="125"/>
      <c r="F77" s="36"/>
    </row>
    <row r="78" spans="1:11" s="14" customFormat="1" ht="15" customHeight="1" x14ac:dyDescent="0.2">
      <c r="C78" s="36"/>
      <c r="D78" s="18"/>
      <c r="E78" s="18"/>
      <c r="F78" s="36"/>
    </row>
    <row r="79" spans="1:11" s="14" customFormat="1" ht="15" customHeight="1" x14ac:dyDescent="0.2">
      <c r="C79" s="36"/>
      <c r="D79" s="37"/>
      <c r="E79" s="37"/>
      <c r="F79" s="36"/>
    </row>
    <row r="80" spans="1:11" s="14" customFormat="1" ht="15" customHeight="1" x14ac:dyDescent="0.2">
      <c r="C80" s="36"/>
      <c r="D80" s="37"/>
      <c r="E80" s="37"/>
      <c r="F80" s="36"/>
    </row>
    <row r="81" spans="1:11" s="14" customFormat="1" ht="15" customHeight="1" x14ac:dyDescent="0.2">
      <c r="C81" s="36"/>
      <c r="D81" s="37"/>
      <c r="E81" s="37"/>
      <c r="F81" s="36"/>
    </row>
    <row r="82" spans="1:11" s="14" customFormat="1" ht="15" customHeight="1" x14ac:dyDescent="0.2">
      <c r="A82" s="47"/>
      <c r="B82" s="47"/>
      <c r="C82" s="36"/>
      <c r="D82" s="37"/>
      <c r="E82" s="37"/>
      <c r="F82" s="36"/>
    </row>
    <row r="83" spans="1:11" s="14" customFormat="1" ht="15" customHeight="1" x14ac:dyDescent="0.2">
      <c r="A83" s="31"/>
      <c r="B83" s="31"/>
      <c r="C83" s="36"/>
      <c r="D83" s="37"/>
      <c r="E83" s="37"/>
      <c r="F83" s="36"/>
    </row>
    <row r="84" spans="1:11" s="14" customFormat="1" ht="15" customHeight="1" x14ac:dyDescent="0.2">
      <c r="C84" s="36"/>
      <c r="D84" s="37"/>
      <c r="E84" s="37"/>
      <c r="F84" s="36"/>
    </row>
    <row r="85" spans="1:11" s="14" customFormat="1" ht="15" customHeight="1" x14ac:dyDescent="0.2">
      <c r="C85" s="125"/>
      <c r="D85" s="37"/>
      <c r="E85" s="37"/>
      <c r="F85" s="36"/>
    </row>
    <row r="86" spans="1:11" s="14" customFormat="1" ht="15" customHeight="1" x14ac:dyDescent="0.2">
      <c r="A86" s="18"/>
      <c r="B86" s="18"/>
      <c r="C86" s="125"/>
      <c r="D86" s="37"/>
      <c r="E86" s="37"/>
      <c r="F86" s="36"/>
      <c r="H86" s="47"/>
      <c r="I86" s="47"/>
      <c r="J86" s="47"/>
      <c r="K86" s="47"/>
    </row>
    <row r="87" spans="1:11" s="47" customFormat="1" ht="15" customHeight="1" x14ac:dyDescent="0.2">
      <c r="A87" s="18"/>
      <c r="B87" s="18"/>
      <c r="D87" s="37"/>
      <c r="E87" s="37"/>
      <c r="H87" s="45"/>
      <c r="I87" s="45"/>
      <c r="J87" s="31"/>
      <c r="K87" s="31"/>
    </row>
    <row r="88" spans="1:11" s="31" customFormat="1" ht="15" customHeight="1" x14ac:dyDescent="0.2">
      <c r="A88" s="18"/>
      <c r="B88" s="18"/>
      <c r="C88" s="121"/>
      <c r="D88" s="37"/>
      <c r="E88" s="37"/>
      <c r="F88" s="45"/>
      <c r="G88" s="45"/>
      <c r="H88" s="28"/>
      <c r="I88" s="28"/>
      <c r="J88" s="14"/>
      <c r="K88" s="14"/>
    </row>
    <row r="89" spans="1:11" s="14" customFormat="1" ht="15" customHeight="1" x14ac:dyDescent="0.2">
      <c r="C89" s="36"/>
      <c r="D89" s="37"/>
      <c r="E89" s="37"/>
      <c r="F89" s="36"/>
      <c r="G89" s="28"/>
      <c r="H89" s="28"/>
      <c r="I89" s="28"/>
    </row>
    <row r="90" spans="1:11" s="14" customFormat="1" ht="15" customHeight="1" x14ac:dyDescent="0.2">
      <c r="C90" s="36"/>
      <c r="D90" s="37"/>
      <c r="E90" s="37"/>
      <c r="F90" s="36"/>
      <c r="G90" s="28"/>
      <c r="H90" s="21"/>
      <c r="I90" s="21"/>
      <c r="J90" s="18"/>
      <c r="K90" s="18"/>
    </row>
    <row r="91" spans="1:11" s="18" customFormat="1" ht="15" customHeight="1" x14ac:dyDescent="0.2">
      <c r="A91" s="14"/>
      <c r="B91" s="14"/>
      <c r="C91" s="37"/>
      <c r="D91" s="37"/>
      <c r="E91" s="37"/>
      <c r="F91" s="37"/>
      <c r="G91" s="21"/>
      <c r="H91" s="21"/>
      <c r="I91" s="21"/>
    </row>
    <row r="92" spans="1:11" s="18" customFormat="1" ht="15" customHeight="1" x14ac:dyDescent="0.2">
      <c r="C92" s="37"/>
      <c r="D92" s="37"/>
      <c r="E92" s="37"/>
      <c r="F92" s="37"/>
      <c r="G92" s="21"/>
      <c r="H92" s="21"/>
      <c r="I92" s="21"/>
    </row>
    <row r="93" spans="1:11" s="18" customFormat="1" ht="15" customHeight="1" x14ac:dyDescent="0.2">
      <c r="A93" s="83"/>
      <c r="B93" s="126"/>
      <c r="C93" s="37"/>
      <c r="D93" s="37"/>
      <c r="E93" s="37"/>
      <c r="F93" s="37"/>
      <c r="G93" s="21"/>
      <c r="H93" s="28"/>
      <c r="I93" s="28"/>
      <c r="J93" s="14"/>
      <c r="K93" s="14"/>
    </row>
    <row r="94" spans="1:11" s="14" customFormat="1" ht="15" customHeight="1" x14ac:dyDescent="0.2">
      <c r="A94" s="83"/>
      <c r="B94" s="126"/>
      <c r="C94" s="36"/>
      <c r="D94" s="37"/>
      <c r="E94" s="37"/>
      <c r="F94" s="36"/>
      <c r="G94" s="28"/>
      <c r="H94" s="28"/>
      <c r="I94" s="28"/>
    </row>
    <row r="95" spans="1:11" s="14" customFormat="1" ht="15" customHeight="1" x14ac:dyDescent="0.2">
      <c r="A95" s="83"/>
      <c r="B95" s="126"/>
      <c r="C95" s="36"/>
      <c r="D95" s="36"/>
      <c r="E95" s="36"/>
      <c r="F95" s="36"/>
      <c r="G95" s="28"/>
      <c r="H95" s="28"/>
      <c r="I95" s="28"/>
    </row>
    <row r="96" spans="1:11" s="14" customFormat="1" ht="15" customHeight="1" x14ac:dyDescent="0.2">
      <c r="A96" s="83"/>
      <c r="B96" s="126"/>
      <c r="C96" s="36"/>
      <c r="D96" s="36"/>
      <c r="E96" s="36"/>
      <c r="F96" s="36"/>
      <c r="G96" s="28"/>
      <c r="H96" s="21"/>
      <c r="I96" s="21"/>
      <c r="J96" s="18"/>
      <c r="K96" s="18"/>
    </row>
    <row r="97" spans="1:11" s="18" customFormat="1" ht="15" customHeight="1" x14ac:dyDescent="0.2">
      <c r="A97" s="83"/>
      <c r="B97" s="126"/>
      <c r="C97" s="37"/>
      <c r="D97" s="36"/>
      <c r="E97" s="36"/>
      <c r="F97" s="37"/>
      <c r="G97" s="21"/>
      <c r="H97" s="21"/>
      <c r="I97" s="21"/>
    </row>
    <row r="98" spans="1:11" s="18" customFormat="1" ht="15" customHeight="1" x14ac:dyDescent="0.2">
      <c r="A98" s="83"/>
      <c r="B98" s="126"/>
      <c r="C98" s="37"/>
      <c r="D98" s="36"/>
      <c r="E98" s="36"/>
      <c r="F98" s="37"/>
      <c r="G98" s="21"/>
      <c r="H98" s="21"/>
      <c r="I98" s="21"/>
    </row>
    <row r="99" spans="1:11" s="18" customFormat="1" ht="15" customHeight="1" x14ac:dyDescent="0.2">
      <c r="A99" s="83"/>
      <c r="B99" s="126"/>
      <c r="C99" s="37"/>
      <c r="D99" s="36"/>
      <c r="E99" s="36"/>
      <c r="F99" s="37"/>
      <c r="G99" s="21"/>
      <c r="H99" s="28"/>
      <c r="I99" s="28"/>
      <c r="J99" s="14"/>
      <c r="K99" s="14"/>
    </row>
    <row r="100" spans="1:11" s="14" customFormat="1" ht="15" customHeight="1" x14ac:dyDescent="0.2">
      <c r="A100" s="83"/>
      <c r="B100" s="126"/>
      <c r="C100" s="36"/>
      <c r="D100" s="36"/>
      <c r="E100" s="36"/>
      <c r="F100" s="36"/>
      <c r="G100" s="28"/>
      <c r="H100" s="28"/>
      <c r="I100" s="28"/>
    </row>
    <row r="101" spans="1:11" s="14" customFormat="1" ht="15" customHeight="1" x14ac:dyDescent="0.2">
      <c r="A101" s="83"/>
      <c r="B101" s="126"/>
      <c r="C101" s="36"/>
      <c r="D101" s="36"/>
      <c r="E101" s="36"/>
      <c r="F101" s="36"/>
      <c r="G101" s="28"/>
      <c r="H101" s="28"/>
      <c r="I101" s="28"/>
    </row>
    <row r="102" spans="1:11" s="14" customFormat="1" ht="15" customHeight="1" x14ac:dyDescent="0.2">
      <c r="A102" s="83"/>
      <c r="B102" s="126"/>
      <c r="C102" s="36"/>
      <c r="D102" s="36"/>
      <c r="E102" s="36"/>
      <c r="F102" s="36"/>
      <c r="G102" s="28"/>
      <c r="H102" s="21"/>
      <c r="I102" s="21"/>
      <c r="J102" s="18"/>
      <c r="K102" s="18"/>
    </row>
    <row r="103" spans="1:11" s="14" customFormat="1" ht="15" customHeight="1" x14ac:dyDescent="0.2">
      <c r="A103" s="83"/>
      <c r="B103" s="126"/>
      <c r="C103" s="124"/>
      <c r="D103" s="47"/>
      <c r="E103" s="47"/>
      <c r="F103" s="37"/>
      <c r="G103" s="21"/>
      <c r="H103" s="21"/>
      <c r="I103" s="21"/>
      <c r="J103" s="18"/>
      <c r="K103" s="18"/>
    </row>
    <row r="104" spans="1:11" s="14" customFormat="1" ht="15" customHeight="1" x14ac:dyDescent="0.2">
      <c r="A104" s="83"/>
      <c r="B104" s="126"/>
      <c r="C104" s="124"/>
      <c r="D104" s="83"/>
      <c r="E104" s="83"/>
      <c r="F104" s="37"/>
      <c r="G104" s="21"/>
      <c r="H104" s="21"/>
      <c r="I104" s="21"/>
      <c r="J104" s="18"/>
      <c r="K104" s="18"/>
    </row>
    <row r="105" spans="1:11" s="14" customFormat="1" ht="15" customHeight="1" x14ac:dyDescent="0.2">
      <c r="A105" s="83"/>
      <c r="B105" s="126"/>
      <c r="C105" s="124"/>
      <c r="D105" s="83"/>
      <c r="E105" s="83"/>
      <c r="F105" s="37"/>
      <c r="G105" s="21"/>
      <c r="H105" s="28"/>
      <c r="I105" s="28"/>
    </row>
    <row r="106" spans="1:11" s="14" customFormat="1" ht="15" customHeight="1" x14ac:dyDescent="0.2">
      <c r="A106" s="83"/>
      <c r="B106" s="126"/>
      <c r="C106" s="36"/>
      <c r="D106" s="83"/>
      <c r="E106" s="83"/>
      <c r="F106" s="36"/>
      <c r="G106" s="28"/>
      <c r="H106" s="28"/>
      <c r="I106" s="28"/>
    </row>
    <row r="107" spans="1:11" s="14" customFormat="1" ht="15" customHeight="1" x14ac:dyDescent="0.2">
      <c r="A107" s="83"/>
      <c r="B107" s="126"/>
      <c r="C107" s="36"/>
      <c r="D107" s="83"/>
      <c r="E107" s="83"/>
      <c r="F107" s="36"/>
      <c r="G107" s="28"/>
      <c r="H107" s="28"/>
      <c r="I107" s="28"/>
    </row>
    <row r="108" spans="1:11" s="14" customFormat="1" ht="15" customHeight="1" x14ac:dyDescent="0.2">
      <c r="A108" s="83"/>
      <c r="B108" s="126"/>
      <c r="C108" s="36"/>
      <c r="D108" s="83"/>
      <c r="E108" s="83"/>
      <c r="F108" s="36"/>
      <c r="G108" s="28"/>
      <c r="H108" s="21"/>
      <c r="I108" s="21"/>
      <c r="J108" s="18"/>
      <c r="K108" s="18"/>
    </row>
    <row r="109" spans="1:11" s="18" customFormat="1" ht="15" customHeight="1" x14ac:dyDescent="0.2">
      <c r="A109" s="83"/>
      <c r="B109" s="126"/>
      <c r="C109" s="37"/>
      <c r="D109" s="83"/>
      <c r="E109" s="83"/>
      <c r="F109" s="37"/>
      <c r="G109" s="21"/>
      <c r="H109" s="21"/>
      <c r="I109" s="21"/>
    </row>
    <row r="110" spans="1:11" s="18" customFormat="1" ht="15" customHeight="1" x14ac:dyDescent="0.2">
      <c r="A110" s="83"/>
      <c r="B110" s="126"/>
      <c r="C110" s="37"/>
      <c r="D110" s="83"/>
      <c r="E110" s="83"/>
      <c r="F110" s="37"/>
      <c r="G110" s="21"/>
      <c r="H110" s="28"/>
      <c r="I110" s="28"/>
      <c r="J110" s="14"/>
      <c r="K110" s="14"/>
    </row>
    <row r="111" spans="1:11" s="14" customFormat="1" ht="15" customHeight="1" x14ac:dyDescent="0.2">
      <c r="A111" s="83"/>
      <c r="B111" s="126"/>
      <c r="C111" s="36"/>
      <c r="D111" s="83"/>
      <c r="E111" s="83"/>
      <c r="F111" s="36"/>
      <c r="G111" s="28"/>
      <c r="H111" s="28"/>
      <c r="I111" s="28"/>
    </row>
    <row r="112" spans="1:11" s="14" customFormat="1" ht="15" customHeight="1" x14ac:dyDescent="0.2">
      <c r="A112" s="83"/>
      <c r="B112" s="126"/>
      <c r="C112" s="36"/>
      <c r="D112" s="83"/>
      <c r="E112" s="83"/>
      <c r="F112" s="36"/>
      <c r="G112" s="28"/>
    </row>
    <row r="113" spans="1:11" s="14" customFormat="1" ht="15" customHeight="1" x14ac:dyDescent="0.2">
      <c r="A113" s="83"/>
      <c r="B113" s="126"/>
      <c r="C113" s="125"/>
      <c r="D113" s="83"/>
      <c r="E113" s="83"/>
      <c r="F113" s="125"/>
      <c r="H113" s="18"/>
      <c r="I113" s="18"/>
      <c r="J113" s="18"/>
      <c r="K113" s="18"/>
    </row>
    <row r="114" spans="1:11" s="18" customFormat="1" ht="15" customHeight="1" x14ac:dyDescent="0.2">
      <c r="A114" s="83"/>
      <c r="B114" s="126"/>
      <c r="C114" s="38"/>
      <c r="D114" s="83"/>
      <c r="E114" s="83"/>
      <c r="F114" s="38"/>
    </row>
    <row r="115" spans="1:11" s="18" customFormat="1" ht="15" customHeight="1" x14ac:dyDescent="0.2">
      <c r="A115" s="83"/>
      <c r="B115" s="126"/>
      <c r="C115" s="38"/>
      <c r="D115" s="83"/>
      <c r="E115" s="83"/>
      <c r="F115" s="38"/>
    </row>
    <row r="116" spans="1:11" s="18" customFormat="1" ht="15" customHeight="1" x14ac:dyDescent="0.2">
      <c r="A116" s="83"/>
      <c r="B116" s="126"/>
      <c r="C116" s="38"/>
      <c r="D116" s="83"/>
      <c r="E116" s="83"/>
      <c r="F116" s="38"/>
      <c r="H116" s="14"/>
      <c r="I116" s="14"/>
      <c r="J116" s="14"/>
      <c r="K116" s="14"/>
    </row>
    <row r="117" spans="1:11" s="14" customFormat="1" ht="15" customHeight="1" x14ac:dyDescent="0.2">
      <c r="A117" s="83"/>
      <c r="B117" s="126"/>
      <c r="C117" s="125"/>
      <c r="D117" s="83"/>
      <c r="E117" s="83"/>
      <c r="F117" s="125"/>
    </row>
    <row r="118" spans="1:11" s="14" customFormat="1" ht="15" customHeight="1" x14ac:dyDescent="0.2">
      <c r="A118" s="83"/>
      <c r="B118" s="126"/>
      <c r="C118" s="125"/>
      <c r="D118" s="83"/>
      <c r="E118" s="83"/>
      <c r="F118" s="125"/>
    </row>
    <row r="119" spans="1:11" s="14" customFormat="1" ht="15" customHeight="1" x14ac:dyDescent="0.2">
      <c r="A119" s="83"/>
      <c r="B119" s="126"/>
      <c r="C119" s="125"/>
      <c r="D119" s="83"/>
      <c r="E119" s="83"/>
      <c r="F119" s="125"/>
    </row>
    <row r="120" spans="1:11" s="14" customFormat="1" ht="15" customHeight="1" x14ac:dyDescent="0.2">
      <c r="A120" s="83"/>
      <c r="B120" s="126"/>
      <c r="C120" s="125"/>
      <c r="D120" s="83"/>
      <c r="E120" s="83"/>
      <c r="F120" s="125"/>
    </row>
    <row r="121" spans="1:11" s="14" customFormat="1" ht="15" customHeight="1" x14ac:dyDescent="0.2">
      <c r="A121" s="83"/>
      <c r="B121" s="126"/>
      <c r="C121" s="125"/>
      <c r="D121" s="83"/>
      <c r="E121" s="83"/>
      <c r="F121" s="125"/>
    </row>
    <row r="122" spans="1:11" s="14" customFormat="1" ht="15" customHeight="1" x14ac:dyDescent="0.2">
      <c r="A122" s="83"/>
      <c r="B122" s="126"/>
      <c r="C122" s="125"/>
      <c r="D122" s="83"/>
      <c r="E122" s="83"/>
      <c r="F122" s="125"/>
    </row>
    <row r="123" spans="1:11" s="14" customFormat="1" ht="15" customHeight="1" x14ac:dyDescent="0.2">
      <c r="A123" s="83"/>
      <c r="B123" s="126"/>
      <c r="C123" s="125"/>
      <c r="D123" s="83"/>
      <c r="E123" s="83"/>
      <c r="F123" s="125"/>
      <c r="H123" s="18"/>
      <c r="I123" s="18"/>
      <c r="J123" s="18"/>
      <c r="K123" s="18"/>
    </row>
    <row r="124" spans="1:11" s="18" customFormat="1" ht="15" customHeight="1" x14ac:dyDescent="0.2">
      <c r="A124" s="83"/>
      <c r="B124" s="126"/>
      <c r="C124" s="37"/>
      <c r="D124" s="83"/>
      <c r="E124" s="83"/>
    </row>
    <row r="125" spans="1:11" s="18" customFormat="1" ht="15" customHeight="1" x14ac:dyDescent="0.2">
      <c r="A125" s="83"/>
      <c r="B125" s="126"/>
      <c r="C125" s="37"/>
      <c r="D125" s="83"/>
      <c r="E125" s="83"/>
      <c r="F125" s="37"/>
    </row>
    <row r="126" spans="1:11" s="18" customFormat="1" ht="15" customHeight="1" x14ac:dyDescent="0.2">
      <c r="A126" s="83"/>
      <c r="B126" s="126"/>
      <c r="C126" s="37"/>
      <c r="D126" s="83"/>
      <c r="E126" s="83"/>
      <c r="F126" s="37"/>
    </row>
    <row r="127" spans="1:11" s="18" customFormat="1" ht="15" customHeight="1" x14ac:dyDescent="0.2">
      <c r="A127" s="83"/>
      <c r="B127" s="126"/>
      <c r="C127" s="37"/>
      <c r="D127" s="83"/>
      <c r="E127" s="83"/>
      <c r="F127" s="37"/>
    </row>
    <row r="128" spans="1:11" s="18" customFormat="1" ht="15" customHeight="1" x14ac:dyDescent="0.2">
      <c r="A128" s="83"/>
      <c r="B128" s="126"/>
      <c r="C128" s="37"/>
      <c r="D128" s="83"/>
      <c r="E128" s="83"/>
      <c r="F128" s="37"/>
    </row>
    <row r="129" spans="1:11" s="18" customFormat="1" ht="15" customHeight="1" x14ac:dyDescent="0.2">
      <c r="A129" s="83"/>
      <c r="B129" s="126"/>
      <c r="C129" s="37" t="s">
        <v>153</v>
      </c>
      <c r="D129" s="83"/>
      <c r="E129" s="83"/>
      <c r="F129" s="37"/>
    </row>
    <row r="130" spans="1:11" s="18" customFormat="1" ht="15" customHeight="1" x14ac:dyDescent="0.2">
      <c r="A130" s="83"/>
      <c r="B130" s="126"/>
      <c r="C130" s="37"/>
      <c r="D130" s="83"/>
      <c r="E130" s="83"/>
      <c r="F130" s="37"/>
    </row>
    <row r="131" spans="1:11" s="18" customFormat="1" ht="15" customHeight="1" x14ac:dyDescent="0.2">
      <c r="A131" s="83"/>
      <c r="B131" s="126"/>
      <c r="C131" s="37"/>
      <c r="D131" s="83"/>
      <c r="E131" s="83"/>
      <c r="F131" s="37"/>
    </row>
    <row r="132" spans="1:11" s="18" customFormat="1" ht="15" customHeight="1" x14ac:dyDescent="0.2">
      <c r="A132" s="83"/>
      <c r="B132" s="126"/>
      <c r="C132" s="37"/>
      <c r="D132" s="83"/>
      <c r="E132" s="83"/>
      <c r="F132" s="37"/>
    </row>
    <row r="133" spans="1:11" s="18" customFormat="1" ht="15" customHeight="1" x14ac:dyDescent="0.2">
      <c r="A133" s="83"/>
      <c r="B133" s="126"/>
      <c r="C133" s="37"/>
      <c r="D133" s="83"/>
      <c r="E133" s="83"/>
      <c r="F133" s="37"/>
    </row>
    <row r="134" spans="1:11" s="18" customFormat="1" ht="15" customHeight="1" x14ac:dyDescent="0.2">
      <c r="A134" s="83"/>
      <c r="B134" s="126"/>
      <c r="C134" s="37"/>
      <c r="D134" s="83"/>
      <c r="E134" s="83"/>
      <c r="F134" s="37"/>
    </row>
    <row r="135" spans="1:11" s="18" customFormat="1" ht="15" customHeight="1" x14ac:dyDescent="0.2">
      <c r="A135" s="83"/>
      <c r="B135" s="126"/>
      <c r="C135" s="37"/>
      <c r="D135" s="83"/>
      <c r="E135" s="83"/>
      <c r="F135" s="37"/>
    </row>
    <row r="136" spans="1:11" s="18" customFormat="1" ht="15" customHeight="1" x14ac:dyDescent="0.2">
      <c r="A136" s="83"/>
      <c r="B136" s="126"/>
      <c r="C136" s="37"/>
      <c r="D136" s="83"/>
      <c r="E136" s="83"/>
      <c r="F136" s="37"/>
    </row>
    <row r="137" spans="1:11" s="18" customFormat="1" ht="15" customHeight="1" x14ac:dyDescent="0.2">
      <c r="A137" s="83"/>
      <c r="B137" s="126"/>
      <c r="C137" s="37"/>
      <c r="D137" s="83"/>
      <c r="E137" s="83"/>
      <c r="F137" s="37"/>
    </row>
    <row r="138" spans="1:11" s="18" customFormat="1" ht="15" customHeight="1" x14ac:dyDescent="0.2">
      <c r="A138" s="83"/>
      <c r="B138" s="126"/>
      <c r="C138" s="37"/>
      <c r="D138" s="83"/>
      <c r="E138" s="83"/>
      <c r="F138" s="37"/>
    </row>
    <row r="139" spans="1:11" s="18" customFormat="1" ht="15" customHeight="1" x14ac:dyDescent="0.2">
      <c r="A139" s="83"/>
      <c r="B139" s="126"/>
      <c r="C139" s="37"/>
      <c r="D139" s="83"/>
      <c r="E139" s="83"/>
      <c r="F139" s="37"/>
    </row>
    <row r="140" spans="1:11" s="18" customFormat="1" ht="15" customHeight="1" x14ac:dyDescent="0.2">
      <c r="A140" s="83"/>
      <c r="B140" s="126"/>
      <c r="C140" s="37"/>
      <c r="D140" s="83"/>
      <c r="E140" s="83"/>
      <c r="F140" s="37"/>
      <c r="H140" s="14"/>
      <c r="I140" s="14"/>
      <c r="J140" s="14"/>
      <c r="K140" s="14"/>
    </row>
    <row r="141" spans="1:11" s="14" customFormat="1" ht="15" customHeight="1" x14ac:dyDescent="0.2">
      <c r="A141" s="83"/>
      <c r="B141" s="126"/>
      <c r="C141" s="36"/>
      <c r="D141" s="83"/>
      <c r="E141" s="83"/>
      <c r="F141" s="36"/>
    </row>
    <row r="142" spans="1:11" s="14" customFormat="1" ht="15" customHeight="1" x14ac:dyDescent="0.2">
      <c r="A142" s="83"/>
      <c r="B142" s="126"/>
      <c r="C142" s="36"/>
      <c r="D142" s="83"/>
      <c r="E142" s="83"/>
      <c r="F142" s="36"/>
    </row>
    <row r="143" spans="1:11" s="14" customFormat="1" ht="15" customHeight="1" x14ac:dyDescent="0.2">
      <c r="A143" s="83"/>
      <c r="B143" s="126"/>
      <c r="C143" s="36"/>
      <c r="D143" s="83"/>
      <c r="E143" s="83"/>
      <c r="F143" s="36"/>
    </row>
    <row r="144" spans="1:11" s="14" customFormat="1" ht="15" customHeight="1" x14ac:dyDescent="0.2">
      <c r="A144" s="83"/>
      <c r="B144" s="126"/>
      <c r="C144" s="36"/>
      <c r="D144" s="83"/>
      <c r="E144" s="83"/>
      <c r="F144" s="36"/>
    </row>
    <row r="145" spans="1:11" s="14" customFormat="1" ht="15" customHeight="1" x14ac:dyDescent="0.2">
      <c r="A145" s="83"/>
      <c r="B145" s="126"/>
      <c r="C145" s="36"/>
      <c r="D145" s="83"/>
      <c r="E145" s="83"/>
      <c r="F145" s="36"/>
    </row>
    <row r="146" spans="1:11" s="14" customFormat="1" ht="15" customHeight="1" x14ac:dyDescent="0.2">
      <c r="A146" s="83"/>
      <c r="B146" s="126"/>
      <c r="C146" s="36"/>
      <c r="D146" s="83"/>
      <c r="E146" s="83"/>
      <c r="F146" s="36"/>
    </row>
    <row r="147" spans="1:11" s="14" customFormat="1" ht="15" customHeight="1" x14ac:dyDescent="0.2">
      <c r="A147" s="83"/>
      <c r="B147" s="126"/>
      <c r="C147" s="36"/>
      <c r="D147" s="83"/>
      <c r="E147" s="83"/>
      <c r="F147" s="36"/>
    </row>
    <row r="148" spans="1:11" s="14" customFormat="1" ht="15" customHeight="1" x14ac:dyDescent="0.2">
      <c r="A148" s="83"/>
      <c r="B148" s="126"/>
      <c r="C148" s="36"/>
      <c r="D148" s="83"/>
      <c r="E148" s="83"/>
      <c r="F148" s="36"/>
      <c r="H148" s="47"/>
      <c r="I148" s="47"/>
      <c r="J148" s="47"/>
      <c r="K148" s="47"/>
    </row>
    <row r="149" spans="1:11" s="47" customFormat="1" ht="15" customHeight="1" x14ac:dyDescent="0.2">
      <c r="A149" s="83"/>
      <c r="B149" s="126"/>
      <c r="D149" s="83"/>
      <c r="E149" s="83"/>
      <c r="H149" s="83"/>
      <c r="I149" s="83"/>
      <c r="J149" s="83"/>
      <c r="K149" s="83"/>
    </row>
  </sheetData>
  <mergeCells count="1">
    <mergeCell ref="A2:B2"/>
  </mergeCells>
  <phoneticPr fontId="11" type="noConversion"/>
  <pageMargins left="0.75" right="0.75" top="1" bottom="1" header="0.5" footer="0.5"/>
  <pageSetup orientation="portrait" horizontalDpi="4294967293" verticalDpi="1200" r:id="rId1"/>
  <headerFooter alignWithMargins="0"/>
  <rowBreaks count="1" manualBreakCount="1">
    <brk id="87" max="16383" man="1"/>
  </rowBreaks>
  <drawing r:id="rId2"/>
  <tableParts count="9">
    <tablePart r:id="rId3"/>
    <tablePart r:id="rId4"/>
    <tablePart r:id="rId5"/>
    <tablePart r:id="rId6"/>
    <tablePart r:id="rId7"/>
    <tablePart r:id="rId8"/>
    <tablePart r:id="rId9"/>
    <tablePart r:id="rId10"/>
    <tablePart r:id="rId1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B1B0"/>
  </sheetPr>
  <dimension ref="B1:O43"/>
  <sheetViews>
    <sheetView showGridLines="0" zoomScaleNormal="100" workbookViewId="0">
      <pane xSplit="1" ySplit="2" topLeftCell="B3" activePane="bottomRight" state="frozen"/>
      <selection pane="topRight" activeCell="B1" sqref="B1"/>
      <selection pane="bottomLeft" activeCell="A3" sqref="A3"/>
      <selection pane="bottomRight" activeCell="B3" sqref="B3:E3"/>
    </sheetView>
  </sheetViews>
  <sheetFormatPr defaultRowHeight="24.95" customHeight="1" x14ac:dyDescent="0.2"/>
  <cols>
    <col min="1" max="1" width="2.42578125" style="131" customWidth="1"/>
    <col min="2" max="2" width="34.5703125" style="131" customWidth="1"/>
    <col min="3" max="3" width="22.7109375" style="131" customWidth="1"/>
    <col min="4" max="4" width="9.28515625" style="131" customWidth="1"/>
    <col min="5" max="5" width="12.85546875" style="131" customWidth="1"/>
    <col min="6" max="6" width="7.42578125" style="131" customWidth="1"/>
    <col min="7" max="7" width="6.85546875" style="131" customWidth="1"/>
    <col min="8" max="8" width="11.42578125" style="131" customWidth="1"/>
    <col min="9" max="9" width="8.85546875" style="131" hidden="1" customWidth="1"/>
    <col min="10" max="10" width="6.28515625" style="131" hidden="1" customWidth="1"/>
    <col min="11" max="11" width="12.7109375" style="131" customWidth="1"/>
    <col min="12" max="12" width="12.140625" style="131" customWidth="1"/>
    <col min="13" max="13" width="12.7109375" style="131" customWidth="1"/>
    <col min="14" max="16384" width="9.140625" style="131"/>
  </cols>
  <sheetData>
    <row r="1" spans="2:15" ht="24.95" customHeight="1" x14ac:dyDescent="0.2">
      <c r="B1" s="128" t="s">
        <v>209</v>
      </c>
      <c r="C1" s="129"/>
      <c r="D1" s="129"/>
      <c r="E1" s="130"/>
      <c r="F1" s="130"/>
      <c r="G1" s="130"/>
      <c r="K1" s="676" t="s">
        <v>207</v>
      </c>
      <c r="L1" s="677">
        <f>L13+L19+L25+L31+L37</f>
        <v>0</v>
      </c>
    </row>
    <row r="2" spans="2:15" ht="24.95" customHeight="1" x14ac:dyDescent="0.2">
      <c r="B2" s="15" t="s">
        <v>303</v>
      </c>
      <c r="C2" s="129"/>
      <c r="D2" s="129"/>
      <c r="E2" s="130"/>
      <c r="F2" s="130"/>
      <c r="G2" s="130"/>
      <c r="K2" s="676"/>
      <c r="L2" s="677"/>
    </row>
    <row r="3" spans="2:15" s="133" customFormat="1" ht="24.95" customHeight="1" x14ac:dyDescent="0.2">
      <c r="B3" s="678" t="s">
        <v>214</v>
      </c>
      <c r="C3" s="678"/>
      <c r="D3" s="678"/>
      <c r="E3" s="678"/>
      <c r="F3" s="132"/>
      <c r="G3" s="132"/>
    </row>
    <row r="4" spans="2:15" s="133" customFormat="1" ht="24.95" customHeight="1" x14ac:dyDescent="0.2">
      <c r="B4" s="134" t="s">
        <v>188</v>
      </c>
      <c r="C4" s="134" t="s">
        <v>189</v>
      </c>
      <c r="D4" s="135" t="s">
        <v>190</v>
      </c>
      <c r="E4" s="135" t="s">
        <v>219</v>
      </c>
      <c r="F4" s="136" t="s">
        <v>222</v>
      </c>
      <c r="G4" s="136" t="s">
        <v>223</v>
      </c>
      <c r="H4" s="136" t="s">
        <v>220</v>
      </c>
      <c r="I4" s="137" t="s">
        <v>216</v>
      </c>
      <c r="J4" s="137" t="s">
        <v>215</v>
      </c>
      <c r="K4" s="136" t="s">
        <v>221</v>
      </c>
      <c r="L4" s="136" t="s">
        <v>218</v>
      </c>
      <c r="M4" s="136" t="s">
        <v>217</v>
      </c>
      <c r="N4" s="132"/>
      <c r="O4" s="132"/>
    </row>
    <row r="5" spans="2:15" s="133" customFormat="1" ht="24.95" customHeight="1" x14ac:dyDescent="0.2">
      <c r="B5" s="139"/>
      <c r="C5" s="139"/>
      <c r="D5" s="340"/>
      <c r="E5" s="341"/>
      <c r="F5" s="138"/>
      <c r="G5" s="138"/>
      <c r="H5" s="140"/>
      <c r="I5" s="140"/>
      <c r="J5" s="140"/>
      <c r="K5" s="140"/>
      <c r="L5" s="140"/>
      <c r="M5" s="341" t="str">
        <f>IF(LoansCurrent[[#This Row],[Current Principal Bal]]&lt;&gt;0,LoansCurrent[[#This Row],[Current Principal Bal]],"")</f>
        <v/>
      </c>
      <c r="N5" s="132"/>
      <c r="O5" s="132"/>
    </row>
    <row r="6" spans="2:15" s="133" customFormat="1" ht="24.95" customHeight="1" x14ac:dyDescent="0.2">
      <c r="B6" s="139"/>
      <c r="C6" s="139"/>
      <c r="D6" s="340"/>
      <c r="E6" s="341"/>
      <c r="F6" s="138"/>
      <c r="G6" s="138"/>
      <c r="H6" s="140"/>
      <c r="I6" s="140"/>
      <c r="J6" s="140"/>
      <c r="K6" s="140"/>
      <c r="L6" s="140"/>
      <c r="M6" s="341" t="str">
        <f>IF(LoansCurrent[[#This Row],[Current Principal Bal]]&lt;&gt;0,LoansCurrent[[#This Row],[Current Principal Bal]],"")</f>
        <v/>
      </c>
      <c r="N6" s="132"/>
      <c r="O6" s="132"/>
    </row>
    <row r="7" spans="2:15" s="133" customFormat="1" ht="24.95" customHeight="1" x14ac:dyDescent="0.2">
      <c r="B7" s="675" t="str">
        <f>CONCATENATE("Sub-Total ",B3)</f>
        <v>Sub-Total Current (Operating) Loans</v>
      </c>
      <c r="C7" s="675"/>
      <c r="D7" s="675"/>
      <c r="E7" s="141">
        <f>SUM(LoansCurrent[Current Principal Bal])</f>
        <v>0</v>
      </c>
    </row>
    <row r="8" spans="2:15" s="133" customFormat="1" ht="15" customHeight="1" x14ac:dyDescent="0.2">
      <c r="B8" s="142"/>
      <c r="C8" s="142"/>
      <c r="D8" s="142"/>
      <c r="E8" s="141"/>
    </row>
    <row r="9" spans="2:15" ht="24.95" customHeight="1" x14ac:dyDescent="0.2">
      <c r="B9" s="680" t="s">
        <v>10</v>
      </c>
      <c r="C9" s="680"/>
      <c r="D9" s="680"/>
      <c r="E9" s="680"/>
      <c r="F9" s="680"/>
      <c r="G9" s="680"/>
      <c r="H9" s="680"/>
      <c r="I9" s="680"/>
      <c r="J9" s="680"/>
      <c r="K9" s="680"/>
      <c r="L9" s="680"/>
      <c r="M9" s="680"/>
    </row>
    <row r="10" spans="2:15" ht="24.95" customHeight="1" thickBot="1" x14ac:dyDescent="0.25">
      <c r="B10" s="380" t="s">
        <v>188</v>
      </c>
      <c r="C10" s="381" t="s">
        <v>189</v>
      </c>
      <c r="D10" s="382" t="s">
        <v>190</v>
      </c>
      <c r="E10" s="135" t="s">
        <v>219</v>
      </c>
      <c r="F10" s="383" t="s">
        <v>194</v>
      </c>
      <c r="G10" s="144" t="s">
        <v>201</v>
      </c>
      <c r="H10" s="383" t="s">
        <v>195</v>
      </c>
      <c r="I10" s="143" t="s">
        <v>199</v>
      </c>
      <c r="J10" s="143" t="s">
        <v>206</v>
      </c>
      <c r="K10" s="144" t="s">
        <v>191</v>
      </c>
      <c r="L10" s="144" t="s">
        <v>192</v>
      </c>
      <c r="M10" s="144" t="s">
        <v>193</v>
      </c>
    </row>
    <row r="11" spans="2:15" ht="24.95" customHeight="1" thickTop="1" x14ac:dyDescent="0.2">
      <c r="B11" s="145"/>
      <c r="C11" s="145"/>
      <c r="D11" s="146"/>
      <c r="E11" s="147"/>
      <c r="F11" s="148"/>
      <c r="G11" s="148"/>
      <c r="H11" s="148"/>
      <c r="I11" s="149" t="str">
        <f>IF(LoanVessel[[#This Row],[Payment Frequency]]&gt;0,LoanVessel[[#This Row],[Years Left]]*LoanVessel[[#This Row],['#Pmts]],"")</f>
        <v/>
      </c>
      <c r="J11" s="149" t="str">
        <f t="shared" ref="J11" si="0">IF(H11&gt;0,IF(H11="Monthly",12,IF(H11="Quarterly",4,IF(H11="Semi-Annual",2,1))),"")</f>
        <v/>
      </c>
      <c r="K11" s="150" t="str">
        <f>IF(LoanVessel[[#This Row],[Payment Frequency]]&gt;0,PMT(LoanVessel[[#This Row],[Interest Rate]]/LoanVessel[[#This Row],['#Pmts]],LoanVessel[[#This Row],[Number Pmts]],LoanVessel[[#This Row],[Current Principal Bal]]*-1)*LoanVessel[[#This Row],['#Pmts]],"")</f>
        <v/>
      </c>
      <c r="L11" s="151" t="str">
        <f>IF(D11&gt;0,IF(LoanVessel[[#This Row],[Payment Frequency]]&lt;&gt;0,CUMPRINC(D11/J11,I11,E11,1,J11,0)*-1,),LoanVessel[[#This Row],[Annual P&amp;I Payment]])</f>
        <v/>
      </c>
      <c r="M11" s="150" t="str">
        <f>IF(LoanVessel[[#This Row],[Payment Frequency]]&gt;0,LoanVessel[[#This Row],[Current Principal Bal]]-LoanVessel[[#This Row],[Prin Due in 12 Months]],"")</f>
        <v/>
      </c>
    </row>
    <row r="12" spans="2:15" ht="24.95" customHeight="1" x14ac:dyDescent="0.2">
      <c r="B12" s="145"/>
      <c r="C12" s="145"/>
      <c r="D12" s="152"/>
      <c r="E12" s="153"/>
      <c r="F12" s="148"/>
      <c r="G12" s="148"/>
      <c r="H12" s="154"/>
      <c r="I12" s="155" t="str">
        <f>IF(LoanVessel[[#This Row],[Payment Frequency]]&gt;0,LoanVessel[[#This Row],[Years Left]]*LoanVessel[[#This Row],['#Pmts]],"")</f>
        <v/>
      </c>
      <c r="J12" s="155" t="str">
        <f>IF(H12&gt;0,IF(H12="Monthly",12,IF(H12="Quarterly",4,IF(H12="Semi-Annual",2,1))),"")</f>
        <v/>
      </c>
      <c r="K12" s="150" t="str">
        <f>IF(LoanVessel[[#This Row],[Payment Frequency]]&gt;0,PMT(LoanVessel[[#This Row],[Interest Rate]]/LoanVessel[[#This Row],['#Pmts]],LoanVessel[[#This Row],[Number Pmts]],LoanVessel[[#This Row],[Current Principal Bal]]*-1)*LoanVessel[[#This Row],['#Pmts]],"")</f>
        <v/>
      </c>
      <c r="L12" s="151" t="str">
        <f>IF(D12&gt;0,IF(LoanVessel[[#This Row],[Payment Frequency]]&lt;&gt;0,CUMPRINC(D12/J12,I12,E12,1,J12,0)*-1,),LoanVessel[[#This Row],[Annual P&amp;I Payment]])</f>
        <v/>
      </c>
      <c r="M12" s="150" t="str">
        <f>IF(LoanVessel[[#This Row],[Payment Frequency]]&gt;0,LoanVessel[[#This Row],[Current Principal Bal]]-LoanVessel[[#This Row],[Prin Due in 12 Months]],"")</f>
        <v/>
      </c>
    </row>
    <row r="13" spans="2:15" s="133" customFormat="1" ht="24.95" customHeight="1" x14ac:dyDescent="0.2">
      <c r="B13" s="675" t="str">
        <f>CONCATENATE("Sub-Total ",B9)</f>
        <v>Sub-Total Vessel &amp; Equipment Loans</v>
      </c>
      <c r="C13" s="675"/>
      <c r="D13" s="675"/>
      <c r="E13" s="675"/>
      <c r="F13" s="675"/>
      <c r="G13" s="675"/>
      <c r="H13" s="675"/>
      <c r="I13" s="675"/>
      <c r="J13" s="675"/>
      <c r="K13" s="675"/>
      <c r="L13" s="141">
        <f>SUM(LoanVessel[Prin Due in 12 Months])</f>
        <v>0</v>
      </c>
      <c r="M13" s="141">
        <f>SUM(LoanVessel[Remaining Balance])</f>
        <v>0</v>
      </c>
    </row>
    <row r="14" spans="2:15" ht="15" customHeight="1" x14ac:dyDescent="0.2"/>
    <row r="15" spans="2:15" ht="24.95" customHeight="1" x14ac:dyDescent="0.2">
      <c r="B15" s="680" t="s">
        <v>59</v>
      </c>
      <c r="C15" s="680"/>
      <c r="D15" s="680"/>
      <c r="E15" s="680"/>
      <c r="F15" s="680"/>
      <c r="G15" s="680"/>
      <c r="H15" s="680"/>
      <c r="I15" s="680"/>
      <c r="J15" s="680"/>
      <c r="K15" s="680"/>
      <c r="L15" s="680"/>
      <c r="M15" s="680"/>
    </row>
    <row r="16" spans="2:15" ht="24.95" customHeight="1" thickBot="1" x14ac:dyDescent="0.25">
      <c r="B16" s="380" t="s">
        <v>188</v>
      </c>
      <c r="C16" s="381" t="s">
        <v>189</v>
      </c>
      <c r="D16" s="382" t="s">
        <v>190</v>
      </c>
      <c r="E16" s="135" t="s">
        <v>219</v>
      </c>
      <c r="F16" s="383" t="s">
        <v>194</v>
      </c>
      <c r="G16" s="144" t="s">
        <v>201</v>
      </c>
      <c r="H16" s="383" t="s">
        <v>195</v>
      </c>
      <c r="I16" s="143" t="s">
        <v>199</v>
      </c>
      <c r="J16" s="143" t="s">
        <v>206</v>
      </c>
      <c r="K16" s="144" t="s">
        <v>191</v>
      </c>
      <c r="L16" s="144" t="s">
        <v>192</v>
      </c>
      <c r="M16" s="144" t="s">
        <v>193</v>
      </c>
    </row>
    <row r="17" spans="2:13" ht="24.95" customHeight="1" thickTop="1" x14ac:dyDescent="0.2">
      <c r="B17" s="145"/>
      <c r="C17" s="145"/>
      <c r="D17" s="146"/>
      <c r="E17" s="147"/>
      <c r="F17" s="148"/>
      <c r="G17" s="148"/>
      <c r="H17" s="148"/>
      <c r="I17" s="149" t="str">
        <f>IF(LoanPermit[[#This Row],[Payment Frequency]]&gt;0,LoanPermit[[#This Row],[Years Left]]*LoanPermit[[#This Row],['#Pmts]],"")</f>
        <v/>
      </c>
      <c r="J17" s="149" t="str">
        <f t="shared" ref="J17" si="1">IF(H17&gt;0,IF(H17="Monthly",12,IF(H17="Quarterly",4,IF(H17="Semi-Annual",2,1))),"")</f>
        <v/>
      </c>
      <c r="K17" s="150" t="str">
        <f>IF(LoanPermit[[#This Row],[Payment Frequency]]&gt;0,PMT(LoanPermit[[#This Row],[Interest Rate]]/LoanPermit[[#This Row],['#Pmts]],LoanPermit[[#This Row],[Number Pmts]],LoanPermit[[#This Row],[Current Principal Bal]]*-1)*LoanPermit[[#This Row],['#Pmts]],"")</f>
        <v/>
      </c>
      <c r="L17" s="151" t="str">
        <f>IF(D17&gt;0,IF(LoanPermit[[#This Row],[Payment Frequency]]&lt;&gt;0,CUMPRINC(D17/J17,I17,E17,1,J17,0)*-1,),LoanPermit[[#This Row],[Annual P&amp;I Payment]])</f>
        <v/>
      </c>
      <c r="M17" s="150" t="str">
        <f>IF(LoanPermit[[#This Row],[Payment Frequency]]&gt;0,LoanPermit[[#This Row],[Current Principal Bal]]-LoanPermit[[#This Row],[Prin Due in 12 Months]],"")</f>
        <v/>
      </c>
    </row>
    <row r="18" spans="2:13" ht="24.95" customHeight="1" x14ac:dyDescent="0.2">
      <c r="B18" s="156"/>
      <c r="C18" s="156"/>
      <c r="D18" s="157"/>
      <c r="E18" s="158"/>
      <c r="F18" s="148"/>
      <c r="G18" s="148"/>
      <c r="H18" s="148"/>
      <c r="I18" s="155" t="str">
        <f>IF(LoanPermit[[#This Row],[Payment Frequency]]&gt;0,LoanPermit[[#This Row],[Years Left]]*LoanPermit[[#This Row],['#Pmts]],"")</f>
        <v/>
      </c>
      <c r="J18" s="155" t="str">
        <f>IF(H18&gt;0,IF(H18="Monthly",12,IF(H18="Quarterly",4,IF(H18="Semi-Annual",2,1))),"")</f>
        <v/>
      </c>
      <c r="K18" s="150" t="str">
        <f>IF(LoanPermit[[#This Row],[Payment Frequency]]&gt;0,PMT(LoanPermit[[#This Row],[Interest Rate]]/LoanPermit[[#This Row],['#Pmts]],LoanPermit[[#This Row],[Number Pmts]],LoanPermit[[#This Row],[Current Principal Bal]]*-1)*LoanPermit[[#This Row],['#Pmts]],"")</f>
        <v/>
      </c>
      <c r="L18" s="151" t="str">
        <f>IF(D18&gt;0,IF(LoanPermit[[#This Row],[Payment Frequency]]&lt;&gt;0,CUMPRINC(D18/J18,I18,E18,1,J18,0)*-1,),LoanPermit[[#This Row],[Annual P&amp;I Payment]])</f>
        <v/>
      </c>
      <c r="M18" s="150" t="str">
        <f>IF(LoanPermit[[#This Row],[Payment Frequency]]&gt;0,LoanPermit[[#This Row],[Current Principal Bal]]-LoanPermit[[#This Row],[Prin Due in 12 Months]],"")</f>
        <v/>
      </c>
    </row>
    <row r="19" spans="2:13" s="133" customFormat="1" ht="24.95" customHeight="1" x14ac:dyDescent="0.2">
      <c r="B19" s="675" t="str">
        <f>CONCATENATE("Sub-Total ",B15)</f>
        <v>Sub-Total Permit &amp; Quota Loans</v>
      </c>
      <c r="C19" s="675"/>
      <c r="D19" s="675"/>
      <c r="E19" s="675"/>
      <c r="F19" s="675"/>
      <c r="G19" s="675"/>
      <c r="H19" s="675"/>
      <c r="I19" s="675"/>
      <c r="J19" s="675"/>
      <c r="K19" s="675"/>
      <c r="L19" s="141">
        <f>SUM(LoanPermit[Prin Due in 12 Months])</f>
        <v>0</v>
      </c>
      <c r="M19" s="141">
        <f>SUM(LoanPermit[Remaining Balance])</f>
        <v>0</v>
      </c>
    </row>
    <row r="20" spans="2:13" ht="15" customHeight="1" x14ac:dyDescent="0.2"/>
    <row r="21" spans="2:13" ht="24.95" customHeight="1" x14ac:dyDescent="0.2">
      <c r="B21" s="680" t="s">
        <v>37</v>
      </c>
      <c r="C21" s="680"/>
      <c r="D21" s="680"/>
      <c r="E21" s="680"/>
      <c r="F21" s="680"/>
      <c r="G21" s="680"/>
      <c r="H21" s="680"/>
      <c r="I21" s="680"/>
      <c r="J21" s="680"/>
      <c r="K21" s="680"/>
      <c r="L21" s="680"/>
      <c r="M21" s="680"/>
    </row>
    <row r="22" spans="2:13" ht="24.95" customHeight="1" thickBot="1" x14ac:dyDescent="0.25">
      <c r="B22" s="380" t="s">
        <v>188</v>
      </c>
      <c r="C22" s="381" t="s">
        <v>189</v>
      </c>
      <c r="D22" s="382" t="s">
        <v>190</v>
      </c>
      <c r="E22" s="135" t="s">
        <v>219</v>
      </c>
      <c r="F22" s="383" t="s">
        <v>194</v>
      </c>
      <c r="G22" s="144" t="s">
        <v>201</v>
      </c>
      <c r="H22" s="383" t="s">
        <v>195</v>
      </c>
      <c r="I22" s="143" t="s">
        <v>199</v>
      </c>
      <c r="J22" s="143" t="s">
        <v>206</v>
      </c>
      <c r="K22" s="144" t="s">
        <v>191</v>
      </c>
      <c r="L22" s="144" t="s">
        <v>192</v>
      </c>
      <c r="M22" s="144" t="s">
        <v>193</v>
      </c>
    </row>
    <row r="23" spans="2:13" ht="24.95" customHeight="1" thickTop="1" x14ac:dyDescent="0.2">
      <c r="B23" s="145"/>
      <c r="C23" s="145"/>
      <c r="D23" s="146"/>
      <c r="E23" s="147"/>
      <c r="F23" s="148"/>
      <c r="G23" s="148"/>
      <c r="H23" s="148"/>
      <c r="I23" s="149" t="str">
        <f>IF(LoanBVeh[[#This Row],[Payment Frequency]]&gt;0,LoanBVeh[[#This Row],[Years Left]]*LoanBVeh[[#This Row],['#Pmts]],"")</f>
        <v/>
      </c>
      <c r="J23" s="149" t="str">
        <f t="shared" ref="J23" si="2">IF(H23&gt;0,IF(H23="Monthly",12,IF(H23="Quarterly",4,IF(H23="Semi-Annual",2,1))),"")</f>
        <v/>
      </c>
      <c r="K23" s="150" t="str">
        <f>IF(LoanBVeh[[#This Row],[Payment Frequency]]&gt;0,PMT(LoanBVeh[[#This Row],[Interest Rate]]/LoanBVeh[[#This Row],['#Pmts]],LoanBVeh[[#This Row],[Number Pmts]],LoanBVeh[[#This Row],[Current Principal Bal]]*-1)*LoanBVeh[[#This Row],['#Pmts]],"")</f>
        <v/>
      </c>
      <c r="L23" s="151" t="str">
        <f>IF(D23&gt;0,IF(LoanBVeh[[#This Row],[Payment Frequency]]&lt;&gt;0,CUMPRINC(D23/J23,I23,E23,1,J23,0)*-1,),LoanBVeh[[#This Row],[Annual P&amp;I Payment]])</f>
        <v/>
      </c>
      <c r="M23" s="150" t="str">
        <f>IF(LoanBVeh[[#This Row],[Payment Frequency]]&gt;0,LoanBVeh[[#This Row],[Current Principal Bal]]-LoanBVeh[[#This Row],[Prin Due in 12 Months]],"")</f>
        <v/>
      </c>
    </row>
    <row r="24" spans="2:13" ht="24.95" customHeight="1" x14ac:dyDescent="0.2">
      <c r="B24" s="156"/>
      <c r="C24" s="156"/>
      <c r="D24" s="157"/>
      <c r="E24" s="158"/>
      <c r="F24" s="148"/>
      <c r="G24" s="148"/>
      <c r="H24" s="148"/>
      <c r="I24" s="155" t="str">
        <f>IF(LoanBVeh[[#This Row],[Payment Frequency]]&gt;0,LoanBVeh[[#This Row],[Years Left]]*LoanBVeh[[#This Row],['#Pmts]],"")</f>
        <v/>
      </c>
      <c r="J24" s="155" t="str">
        <f>IF(H24&gt;0,IF(H24="Monthly",12,IF(H24="Quarterly",4,IF(H24="Semi-Annual",2,1))),"")</f>
        <v/>
      </c>
      <c r="K24" s="150" t="str">
        <f>IF(LoanBVeh[[#This Row],[Payment Frequency]]&gt;0,PMT(LoanBVeh[[#This Row],[Interest Rate]]/LoanBVeh[[#This Row],['#Pmts]],LoanBVeh[[#This Row],[Number Pmts]],LoanBVeh[[#This Row],[Current Principal Bal]]*-1)*LoanBVeh[[#This Row],['#Pmts]],"")</f>
        <v/>
      </c>
      <c r="L24" s="151" t="str">
        <f>IF(D24&gt;0,IF(LoanBVeh[[#This Row],[Payment Frequency]]&lt;&gt;0,CUMPRINC(D24/J24,I24,E24,1,J24,0)*-1,),LoanBVeh[[#This Row],[Annual P&amp;I Payment]])</f>
        <v/>
      </c>
      <c r="M24" s="150" t="str">
        <f>IF(LoanBVeh[[#This Row],[Payment Frequency]]&gt;0,LoanBVeh[[#This Row],[Current Principal Bal]]-LoanBVeh[[#This Row],[Prin Due in 12 Months]],"")</f>
        <v/>
      </c>
    </row>
    <row r="25" spans="2:13" s="133" customFormat="1" ht="24.95" customHeight="1" x14ac:dyDescent="0.2">
      <c r="B25" s="675" t="str">
        <f>CONCATENATE("Sub-Total ",B21)</f>
        <v>Sub-Total Business Vehicle Loans</v>
      </c>
      <c r="C25" s="675"/>
      <c r="D25" s="675"/>
      <c r="E25" s="675"/>
      <c r="F25" s="675"/>
      <c r="G25" s="675"/>
      <c r="H25" s="675"/>
      <c r="I25" s="675"/>
      <c r="J25" s="675"/>
      <c r="K25" s="675"/>
      <c r="L25" s="141">
        <f>SUM(LoanBVeh[Prin Due in 12 Months])</f>
        <v>0</v>
      </c>
      <c r="M25" s="141">
        <f>SUM(LoanBVeh[Remaining Balance])</f>
        <v>0</v>
      </c>
    </row>
    <row r="26" spans="2:13" ht="15" customHeight="1" x14ac:dyDescent="0.2"/>
    <row r="27" spans="2:13" ht="24.95" customHeight="1" x14ac:dyDescent="0.2">
      <c r="B27" s="680" t="s">
        <v>60</v>
      </c>
      <c r="C27" s="680"/>
      <c r="D27" s="680"/>
      <c r="E27" s="680"/>
      <c r="F27" s="680"/>
      <c r="G27" s="680"/>
      <c r="H27" s="680"/>
      <c r="I27" s="680"/>
      <c r="J27" s="680"/>
      <c r="K27" s="680"/>
      <c r="L27" s="680"/>
      <c r="M27" s="680"/>
    </row>
    <row r="28" spans="2:13" ht="24.95" customHeight="1" thickBot="1" x14ac:dyDescent="0.25">
      <c r="B28" s="380" t="s">
        <v>188</v>
      </c>
      <c r="C28" s="381" t="s">
        <v>189</v>
      </c>
      <c r="D28" s="382" t="s">
        <v>190</v>
      </c>
      <c r="E28" s="135" t="s">
        <v>219</v>
      </c>
      <c r="F28" s="383" t="s">
        <v>194</v>
      </c>
      <c r="G28" s="144" t="s">
        <v>201</v>
      </c>
      <c r="H28" s="383" t="s">
        <v>195</v>
      </c>
      <c r="I28" s="143" t="s">
        <v>199</v>
      </c>
      <c r="J28" s="143" t="s">
        <v>206</v>
      </c>
      <c r="K28" s="144" t="s">
        <v>191</v>
      </c>
      <c r="L28" s="144" t="s">
        <v>192</v>
      </c>
      <c r="M28" s="144" t="s">
        <v>193</v>
      </c>
    </row>
    <row r="29" spans="2:13" ht="24.95" customHeight="1" thickTop="1" x14ac:dyDescent="0.2">
      <c r="B29" s="145"/>
      <c r="C29" s="145"/>
      <c r="D29" s="146"/>
      <c r="E29" s="147"/>
      <c r="F29" s="148"/>
      <c r="G29" s="148"/>
      <c r="H29" s="148"/>
      <c r="I29" s="149" t="str">
        <f>IF(LoanRE[[#This Row],[Payment Frequency]]&gt;0,LoanRE[[#This Row],[Years Left]]*LoanRE[[#This Row],['#Pmts]],"")</f>
        <v/>
      </c>
      <c r="J29" s="149" t="str">
        <f t="shared" ref="J29" si="3">IF(H29&gt;0,IF(H29="Monthly",12,IF(H29="Quarterly",4,IF(H29="Semi-Annual",2,1))),"")</f>
        <v/>
      </c>
      <c r="K29" s="150" t="str">
        <f>IF(LoanRE[[#This Row],[Payment Frequency]]&gt;0,PMT(LoanRE[[#This Row],[Interest Rate]]/LoanRE[[#This Row],['#Pmts]],LoanRE[[#This Row],[Number Pmts]],LoanRE[[#This Row],[Current Principal Bal]]*-1)*LoanRE[[#This Row],['#Pmts]],"")</f>
        <v/>
      </c>
      <c r="L29" s="151" t="str">
        <f>IF(D29&gt;0,IF(LoanRE[[#This Row],[Payment Frequency]]&lt;&gt;0,CUMPRINC(D29/J29,I29,E29,1,J29,0)*-1,),LoanRE[[#This Row],[Annual P&amp;I Payment]])</f>
        <v/>
      </c>
      <c r="M29" s="150" t="str">
        <f>IF(LoanRE[[#This Row],[Payment Frequency]]&gt;0,LoanRE[[#This Row],[Current Principal Bal]]-LoanRE[[#This Row],[Prin Due in 12 Months]],"")</f>
        <v/>
      </c>
    </row>
    <row r="30" spans="2:13" ht="24.95" customHeight="1" x14ac:dyDescent="0.2">
      <c r="B30" s="156"/>
      <c r="C30" s="156"/>
      <c r="D30" s="157"/>
      <c r="E30" s="158"/>
      <c r="F30" s="148"/>
      <c r="G30" s="148"/>
      <c r="H30" s="148"/>
      <c r="I30" s="155" t="str">
        <f>IF(LoanRE[[#This Row],[Payment Frequency]]&gt;0,LoanRE[[#This Row],[Years Left]]*LoanRE[[#This Row],['#Pmts]],"")</f>
        <v/>
      </c>
      <c r="J30" s="155" t="str">
        <f>IF(H30&gt;0,IF(H30="Monthly",12,IF(H30="Quarterly",4,IF(H30="Semi-Annual",2,1))),"")</f>
        <v/>
      </c>
      <c r="K30" s="150" t="str">
        <f>IF(LoanRE[[#This Row],[Payment Frequency]]&gt;0,PMT(LoanRE[[#This Row],[Interest Rate]]/LoanRE[[#This Row],['#Pmts]],LoanRE[[#This Row],[Number Pmts]],LoanRE[[#This Row],[Current Principal Bal]]*-1)*LoanRE[[#This Row],['#Pmts]],"")</f>
        <v/>
      </c>
      <c r="L30" s="151" t="str">
        <f>IF(D30&gt;0,IF(LoanRE[[#This Row],[Payment Frequency]]&lt;&gt;0,CUMPRINC(D30/J30,I30,E30,1,J30,0)*-1,),LoanRE[[#This Row],[Annual P&amp;I Payment]])</f>
        <v/>
      </c>
      <c r="M30" s="150" t="str">
        <f>IF(LoanRE[[#This Row],[Payment Frequency]]&gt;0,LoanRE[[#This Row],[Current Principal Bal]]-LoanRE[[#This Row],[Prin Due in 12 Months]],"")</f>
        <v/>
      </c>
    </row>
    <row r="31" spans="2:13" s="133" customFormat="1" ht="24.95" customHeight="1" x14ac:dyDescent="0.2">
      <c r="B31" s="675" t="str">
        <f>CONCATENATE("Sub-Total ",B27)</f>
        <v>Sub-Total Business Real Estate Loans</v>
      </c>
      <c r="C31" s="675"/>
      <c r="D31" s="675"/>
      <c r="E31" s="675"/>
      <c r="F31" s="675"/>
      <c r="G31" s="675"/>
      <c r="H31" s="675"/>
      <c r="I31" s="675"/>
      <c r="J31" s="675"/>
      <c r="K31" s="675"/>
      <c r="L31" s="141">
        <f>SUM(LoanRE[Prin Due in 12 Months])</f>
        <v>0</v>
      </c>
      <c r="M31" s="141">
        <f>SUM(LoanRE[Remaining Balance])</f>
        <v>0</v>
      </c>
    </row>
    <row r="32" spans="2:13" ht="15" customHeight="1" x14ac:dyDescent="0.2"/>
    <row r="33" spans="2:13" ht="24.95" customHeight="1" x14ac:dyDescent="0.2">
      <c r="B33" s="680" t="s">
        <v>208</v>
      </c>
      <c r="C33" s="680"/>
      <c r="D33" s="680"/>
      <c r="E33" s="680"/>
      <c r="F33" s="680"/>
      <c r="G33" s="680"/>
      <c r="H33" s="680"/>
      <c r="I33" s="680"/>
      <c r="J33" s="680"/>
      <c r="K33" s="680"/>
      <c r="L33" s="680"/>
      <c r="M33" s="680"/>
    </row>
    <row r="34" spans="2:13" ht="24.95" customHeight="1" thickBot="1" x14ac:dyDescent="0.25">
      <c r="B34" s="380" t="s">
        <v>188</v>
      </c>
      <c r="C34" s="381" t="s">
        <v>189</v>
      </c>
      <c r="D34" s="382" t="s">
        <v>190</v>
      </c>
      <c r="E34" s="135" t="s">
        <v>219</v>
      </c>
      <c r="F34" s="383" t="s">
        <v>194</v>
      </c>
      <c r="G34" s="144" t="s">
        <v>201</v>
      </c>
      <c r="H34" s="383" t="s">
        <v>195</v>
      </c>
      <c r="I34" s="143" t="s">
        <v>199</v>
      </c>
      <c r="J34" s="143" t="s">
        <v>206</v>
      </c>
      <c r="K34" s="144" t="s">
        <v>191</v>
      </c>
      <c r="L34" s="144" t="s">
        <v>192</v>
      </c>
      <c r="M34" s="144" t="s">
        <v>193</v>
      </c>
    </row>
    <row r="35" spans="2:13" ht="24.95" customHeight="1" thickTop="1" x14ac:dyDescent="0.2">
      <c r="B35" s="145"/>
      <c r="C35" s="145"/>
      <c r="D35" s="146"/>
      <c r="E35" s="147"/>
      <c r="F35" s="148"/>
      <c r="G35" s="148"/>
      <c r="H35" s="148"/>
      <c r="I35" s="149" t="str">
        <f>IF(LoanPers[[#This Row],[Payment Frequency]]&gt;0,LoanPers[[#This Row],[Years Left]]*LoanPers[[#This Row],['#Pmts]],"")</f>
        <v/>
      </c>
      <c r="J35" s="149" t="str">
        <f t="shared" ref="J35" si="4">IF(H35&gt;0,IF(H35="Monthly",12,IF(H35="Quarterly",4,IF(H35="Semi-Annual",2,1))),"")</f>
        <v/>
      </c>
      <c r="K35" s="150" t="str">
        <f>IF(LoanPers[[#This Row],[Payment Frequency]]&gt;0,PMT(LoanPers[[#This Row],[Interest Rate]]/LoanPers[[#This Row],['#Pmts]],LoanPers[[#This Row],[Number Pmts]],LoanPers[[#This Row],[Current Principal Bal]]*-1)*LoanPers[[#This Row],['#Pmts]],"")</f>
        <v/>
      </c>
      <c r="L35" s="151" t="str">
        <f>IF(D35&gt;0,IF(LoanPers[[#This Row],[Payment Frequency]]&lt;&gt;0,CUMPRINC(D35/J35,I35,E35,1,J35,0)*-1,),LoanPers[[#This Row],[Annual P&amp;I Payment]])</f>
        <v/>
      </c>
      <c r="M35" s="150" t="str">
        <f>IF(LoanPers[[#This Row],[Payment Frequency]]&gt;0,LoanPers[[#This Row],[Current Principal Bal]]-LoanPers[[#This Row],[Prin Due in 12 Months]],"")</f>
        <v/>
      </c>
    </row>
    <row r="36" spans="2:13" ht="24.95" customHeight="1" x14ac:dyDescent="0.2">
      <c r="B36" s="156"/>
      <c r="C36" s="156"/>
      <c r="D36" s="157"/>
      <c r="E36" s="158"/>
      <c r="F36" s="148"/>
      <c r="G36" s="148"/>
      <c r="H36" s="148"/>
      <c r="I36" s="155" t="str">
        <f>IF(LoanPers[[#This Row],[Payment Frequency]]&gt;0,LoanPers[[#This Row],[Years Left]]*LoanPers[[#This Row],['#Pmts]],"")</f>
        <v/>
      </c>
      <c r="J36" s="155" t="str">
        <f>IF(H36&gt;0,IF(H36="Monthly",12,IF(H36="Quarterly",4,IF(H36="Semi-Annual",2,1))),"")</f>
        <v/>
      </c>
      <c r="K36" s="150" t="str">
        <f>IF(LoanPers[[#This Row],[Payment Frequency]]&gt;0,PMT(LoanPers[[#This Row],[Interest Rate]]/LoanPers[[#This Row],['#Pmts]],LoanPers[[#This Row],[Number Pmts]],LoanPers[[#This Row],[Current Principal Bal]]*-1)*LoanPers[[#This Row],['#Pmts]],"")</f>
        <v/>
      </c>
      <c r="L36" s="151" t="str">
        <f>IF(D36&gt;0,IF(LoanPers[[#This Row],[Payment Frequency]]&lt;&gt;0,CUMPRINC(D36/J36,I36,E36,1,J36,0)*-1,),LoanPers[[#This Row],[Annual P&amp;I Payment]])</f>
        <v/>
      </c>
      <c r="M36" s="150" t="str">
        <f>IF(LoanPers[[#This Row],[Payment Frequency]]&gt;0,LoanPers[[#This Row],[Current Principal Bal]]-LoanPers[[#This Row],[Prin Due in 12 Months]],"")</f>
        <v/>
      </c>
    </row>
    <row r="37" spans="2:13" s="133" customFormat="1" ht="24.95" customHeight="1" x14ac:dyDescent="0.2">
      <c r="B37" s="675" t="str">
        <f>CONCATENATE("Sub-Total ",B33)</f>
        <v>Sub-Total Personal Loans</v>
      </c>
      <c r="C37" s="675"/>
      <c r="D37" s="675"/>
      <c r="E37" s="675"/>
      <c r="F37" s="675"/>
      <c r="G37" s="675"/>
      <c r="H37" s="675"/>
      <c r="I37" s="675"/>
      <c r="J37" s="675"/>
      <c r="K37" s="675"/>
      <c r="L37" s="141">
        <f>SUM(LoanPers[Prin Due in 12 Months])</f>
        <v>0</v>
      </c>
      <c r="M37" s="141">
        <f>SUM(LoanPers[Remaining Balance])</f>
        <v>0</v>
      </c>
    </row>
    <row r="38" spans="2:13" ht="15" customHeight="1" x14ac:dyDescent="0.2"/>
    <row r="39" spans="2:13" ht="24.95" customHeight="1" x14ac:dyDescent="0.2">
      <c r="B39" s="679" t="s">
        <v>210</v>
      </c>
      <c r="C39" s="679"/>
      <c r="D39" s="679"/>
      <c r="E39" s="679"/>
      <c r="F39" s="679"/>
      <c r="G39" s="679"/>
      <c r="H39" s="679"/>
      <c r="I39" s="679"/>
      <c r="J39" s="679"/>
      <c r="K39" s="679"/>
      <c r="L39" s="679"/>
      <c r="M39" s="679"/>
    </row>
    <row r="40" spans="2:13" ht="24.95" customHeight="1" thickBot="1" x14ac:dyDescent="0.25">
      <c r="B40" s="380" t="s">
        <v>188</v>
      </c>
      <c r="C40" s="381" t="s">
        <v>189</v>
      </c>
      <c r="D40" s="382" t="s">
        <v>190</v>
      </c>
      <c r="E40" s="135" t="s">
        <v>219</v>
      </c>
      <c r="F40" s="383" t="s">
        <v>194</v>
      </c>
      <c r="G40" s="144" t="s">
        <v>201</v>
      </c>
      <c r="H40" s="383" t="s">
        <v>195</v>
      </c>
      <c r="I40" s="143" t="s">
        <v>199</v>
      </c>
      <c r="J40" s="143" t="s">
        <v>206</v>
      </c>
      <c r="K40" s="144" t="s">
        <v>191</v>
      </c>
      <c r="L40" s="144" t="s">
        <v>192</v>
      </c>
      <c r="M40" s="144" t="s">
        <v>193</v>
      </c>
    </row>
    <row r="41" spans="2:13" ht="24.95" customHeight="1" thickTop="1" x14ac:dyDescent="0.2">
      <c r="B41" s="145"/>
      <c r="C41" s="145"/>
      <c r="D41" s="146"/>
      <c r="E41" s="147"/>
      <c r="F41" s="148"/>
      <c r="G41" s="148"/>
      <c r="H41" s="154"/>
      <c r="I41" s="149" t="str">
        <f>IF(LoanPersRE[[#This Row],[Payment Frequency]]&gt;0,LoanPersRE[[#This Row],[Years Left]]*LoanPersRE[[#This Row],['#Pmts]],"")</f>
        <v/>
      </c>
      <c r="J41" s="149" t="str">
        <f t="shared" ref="J41" si="5">IF(H41&gt;0,IF(H41="Monthly",12,IF(H41="Quarterly",4,IF(H41="Semi-Annual",2,1))),"")</f>
        <v/>
      </c>
      <c r="K41" s="150" t="str">
        <f>IF(LoanPersRE[[#This Row],[Payment Frequency]]&gt;0,PMT(LoanPersRE[[#This Row],[Interest Rate]]/LoanPersRE[[#This Row],['#Pmts]],LoanPersRE[[#This Row],[Number Pmts]],LoanPersRE[[#This Row],[Current Principal Bal]]*-1)*LoanPersRE[[#This Row],['#Pmts]],"")</f>
        <v/>
      </c>
      <c r="L41" s="151" t="str">
        <f>IF(D41&gt;0,IF(LoanPersRE[[#This Row],[Payment Frequency]]&lt;&gt;0,CUMPRINC(D41/J41,I41,E41,1,J41,0)*-1,),LoanPersRE[[#This Row],[Annual P&amp;I Payment]])</f>
        <v/>
      </c>
      <c r="M41" s="150" t="str">
        <f>IF(LoanPersRE[[#This Row],[Payment Frequency]]&gt;0,LoanPersRE[[#This Row],[Current Principal Bal]]-LoanPersRE[[#This Row],[Prin Due in 12 Months]],"")</f>
        <v/>
      </c>
    </row>
    <row r="42" spans="2:13" ht="24.95" customHeight="1" x14ac:dyDescent="0.2">
      <c r="B42" s="156"/>
      <c r="C42" s="156"/>
      <c r="D42" s="157"/>
      <c r="E42" s="158"/>
      <c r="F42" s="148"/>
      <c r="G42" s="148"/>
      <c r="H42" s="148"/>
      <c r="I42" s="155" t="str">
        <f>IF(LoanPersRE[[#This Row],[Payment Frequency]]&gt;0,LoanPersRE[[#This Row],[Years Left]]*LoanPersRE[[#This Row],['#Pmts]],"")</f>
        <v/>
      </c>
      <c r="J42" s="155" t="str">
        <f>IF(H42&gt;0,IF(H42="Monthly",12,IF(H42="Quarterly",4,IF(H42="Semi-Annual",2,1))),"")</f>
        <v/>
      </c>
      <c r="K42" s="150" t="str">
        <f>IF(LoanPersRE[[#This Row],[Payment Frequency]]&gt;0,PMT(LoanPersRE[[#This Row],[Interest Rate]]/LoanPersRE[[#This Row],['#Pmts]],LoanPersRE[[#This Row],[Number Pmts]],LoanPersRE[[#This Row],[Current Principal Bal]]*-1)*LoanPersRE[[#This Row],['#Pmts]],"")</f>
        <v/>
      </c>
      <c r="L42" s="151" t="str">
        <f>IF(D42&gt;0,IF(LoanPersRE[[#This Row],[Payment Frequency]]&lt;&gt;0,CUMPRINC(D42/J42,I42,E42,1,J42,0)*-1,),LoanPersRE[[#This Row],[Annual P&amp;I Payment]])</f>
        <v/>
      </c>
      <c r="M42" s="150" t="str">
        <f>IF(LoanPersRE[[#This Row],[Payment Frequency]]&gt;0,LoanPersRE[[#This Row],[Current Principal Bal]]-LoanPersRE[[#This Row],[Prin Due in 12 Months]],"")</f>
        <v/>
      </c>
    </row>
    <row r="43" spans="2:13" s="133" customFormat="1" ht="24.95" customHeight="1" x14ac:dyDescent="0.2">
      <c r="B43" s="675" t="str">
        <f>CONCATENATE("Sub-Total ",B39)</f>
        <v>Sub-Total Personal Real Estate Loans</v>
      </c>
      <c r="C43" s="675"/>
      <c r="D43" s="675"/>
      <c r="E43" s="675"/>
      <c r="F43" s="675"/>
      <c r="G43" s="675"/>
      <c r="H43" s="675"/>
      <c r="I43" s="675"/>
      <c r="J43" s="675"/>
      <c r="K43" s="675"/>
      <c r="L43" s="141">
        <f>SUM(LoanPersRE[Prin Due in 12 Months])</f>
        <v>0</v>
      </c>
      <c r="M43" s="141">
        <f>SUM(LoanPersRE[Remaining Balance])</f>
        <v>0</v>
      </c>
    </row>
  </sheetData>
  <sheetProtection deleteRows="0"/>
  <mergeCells count="16">
    <mergeCell ref="B43:K43"/>
    <mergeCell ref="B39:M39"/>
    <mergeCell ref="B9:M9"/>
    <mergeCell ref="B15:M15"/>
    <mergeCell ref="B21:M21"/>
    <mergeCell ref="B27:M27"/>
    <mergeCell ref="B33:M33"/>
    <mergeCell ref="B25:K25"/>
    <mergeCell ref="B19:K19"/>
    <mergeCell ref="B31:K31"/>
    <mergeCell ref="B13:K13"/>
    <mergeCell ref="B7:D7"/>
    <mergeCell ref="K1:K2"/>
    <mergeCell ref="L1:L2"/>
    <mergeCell ref="B3:E3"/>
    <mergeCell ref="B37:K37"/>
  </mergeCells>
  <dataValidations count="3">
    <dataValidation type="list" allowBlank="1" showInputMessage="1" showErrorMessage="1" error="Please choose how often a payment is made" sqref="H17:H18 H23:H24 H29:H30 H35:H36 H41:H42 H11:H12">
      <formula1>LoanFreq</formula1>
    </dataValidation>
    <dataValidation type="list" allowBlank="1" showInputMessage="1" showErrorMessage="1" sqref="K5:L6">
      <formula1>Months</formula1>
    </dataValidation>
    <dataValidation type="list" allowBlank="1" showInputMessage="1" showErrorMessage="1" sqref="F5:H6">
      <formula1>"Yes,No"</formula1>
    </dataValidation>
  </dataValidations>
  <pageMargins left="0.7" right="0.7" top="0.75" bottom="0.75" header="0.3" footer="0.3"/>
  <pageSetup orientation="landscape" horizontalDpi="1200" verticalDpi="1200" r:id="rId1"/>
  <drawing r:id="rId2"/>
  <tableParts count="7">
    <tablePart r:id="rId3"/>
    <tablePart r:id="rId4"/>
    <tablePart r:id="rId5"/>
    <tablePart r:id="rId6"/>
    <tablePart r:id="rId7"/>
    <tablePart r:id="rId8"/>
    <tablePart r:id="rId9"/>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EBF24"/>
  </sheetPr>
  <dimension ref="A1:S170"/>
  <sheetViews>
    <sheetView showGridLines="0" topLeftCell="B1" zoomScaleNormal="100" workbookViewId="0">
      <pane xSplit="3" ySplit="9" topLeftCell="E10" activePane="bottomRight" state="frozen"/>
      <selection activeCell="B1" sqref="B1"/>
      <selection pane="topRight" activeCell="E1" sqref="E1"/>
      <selection pane="bottomLeft" activeCell="B10" sqref="B10"/>
      <selection pane="bottomRight" activeCell="E10" sqref="E10"/>
    </sheetView>
  </sheetViews>
  <sheetFormatPr defaultColWidth="10" defaultRowHeight="12.75" x14ac:dyDescent="0.2"/>
  <cols>
    <col min="1" max="1" width="36" style="3" hidden="1" customWidth="1"/>
    <col min="2" max="2" width="57.7109375" style="3" customWidth="1"/>
    <col min="3" max="4" width="15.7109375" style="2" customWidth="1"/>
    <col min="5" max="5" width="10.85546875" style="3" customWidth="1"/>
    <col min="6" max="6" width="12" style="3" customWidth="1"/>
    <col min="7" max="16384" width="10" style="3"/>
  </cols>
  <sheetData>
    <row r="1" spans="2:19" ht="3" customHeight="1" x14ac:dyDescent="0.2">
      <c r="B1" s="695" t="str">
        <f>B169</f>
        <v>NET CASH FLOWS (all sources)</v>
      </c>
      <c r="C1" s="693">
        <f t="shared" ref="C1:D1" si="0">C169</f>
        <v>0</v>
      </c>
      <c r="D1" s="693">
        <f t="shared" si="0"/>
        <v>0</v>
      </c>
      <c r="Q1" s="79">
        <f>Year</f>
        <v>2015</v>
      </c>
      <c r="R1" s="80" t="str">
        <f>CONCATENATE(Year+1," Proj.")</f>
        <v>2016 Proj.</v>
      </c>
    </row>
    <row r="2" spans="2:19" ht="3" customHeight="1" x14ac:dyDescent="0.2">
      <c r="B2" s="696"/>
      <c r="C2" s="693"/>
      <c r="D2" s="693"/>
      <c r="Q2" s="67" t="s">
        <v>327</v>
      </c>
      <c r="R2" s="67" t="s">
        <v>328</v>
      </c>
      <c r="S2" s="3" t="str">
        <f ca="1">IF(HowSell="Direct to Processor","",OFFSET(R2,0,0,1,1))</f>
        <v>Direct Marketing Net Income</v>
      </c>
    </row>
    <row r="3" spans="2:19" ht="3" customHeight="1" x14ac:dyDescent="0.2">
      <c r="B3" s="696"/>
      <c r="C3" s="693"/>
      <c r="D3" s="693"/>
      <c r="Q3" s="67" t="s">
        <v>142</v>
      </c>
      <c r="R3" s="67" t="s">
        <v>143</v>
      </c>
      <c r="S3" s="67" t="s">
        <v>144</v>
      </c>
    </row>
    <row r="4" spans="2:19" ht="3" customHeight="1" x14ac:dyDescent="0.2">
      <c r="B4" s="696"/>
      <c r="C4" s="693"/>
      <c r="D4" s="693"/>
      <c r="Q4" s="67" t="s">
        <v>329</v>
      </c>
      <c r="R4" s="67" t="s">
        <v>330</v>
      </c>
      <c r="S4" s="67" t="s">
        <v>331</v>
      </c>
    </row>
    <row r="5" spans="2:19" ht="3" customHeight="1" x14ac:dyDescent="0.2">
      <c r="B5" s="696"/>
      <c r="C5" s="693"/>
      <c r="D5" s="693"/>
      <c r="Q5" s="3" t="str">
        <f ca="1">IF(HowSell="Direct to Processor","",OFFSET(Q4,0,0,1,1))</f>
        <v>Direct Mkt Income</v>
      </c>
      <c r="R5" s="3" t="str">
        <f ca="1">IF(HowSell="Direct to Processor","",OFFSET(R4,0,0,1,1))</f>
        <v>Variable Direct Mkt Costs</v>
      </c>
      <c r="S5" s="3" t="str">
        <f ca="1">IF(HowSell="Direct to Processor","",OFFSET(S4,0,0,1,1))</f>
        <v>Fixed Direct Mkt Costs</v>
      </c>
    </row>
    <row r="6" spans="2:19" ht="3" customHeight="1" thickBot="1" x14ac:dyDescent="0.25">
      <c r="B6" s="697"/>
      <c r="C6" s="694"/>
      <c r="D6" s="694"/>
    </row>
    <row r="7" spans="2:19" ht="3" customHeight="1" thickTop="1" x14ac:dyDescent="0.25">
      <c r="B7" s="402"/>
      <c r="C7" s="401"/>
      <c r="D7" s="401"/>
    </row>
    <row r="8" spans="2:19" ht="3" customHeight="1" x14ac:dyDescent="0.25">
      <c r="B8" s="402"/>
      <c r="C8" s="401"/>
      <c r="D8" s="401"/>
    </row>
    <row r="9" spans="2:19" x14ac:dyDescent="0.2">
      <c r="B9" s="704" t="s">
        <v>320</v>
      </c>
      <c r="C9" s="704"/>
      <c r="D9" s="704"/>
      <c r="F9" s="67"/>
    </row>
    <row r="10" spans="2:19" x14ac:dyDescent="0.2">
      <c r="B10" s="684" t="str">
        <f>IF(ProjTime="Annual","Income Statement &amp; Annual Cash Flow","Income Statement &amp; Monthly Cash Flow Summary")</f>
        <v>Income Statement &amp; Monthly Cash Flow Summary</v>
      </c>
      <c r="C10" s="685"/>
      <c r="D10" s="686"/>
    </row>
    <row r="11" spans="2:19" ht="12.75" customHeight="1" x14ac:dyDescent="0.2">
      <c r="B11" s="687"/>
      <c r="C11" s="688"/>
      <c r="D11" s="689"/>
    </row>
    <row r="12" spans="2:19" ht="18.75" customHeight="1" x14ac:dyDescent="0.2">
      <c r="B12" s="687"/>
      <c r="C12" s="688"/>
      <c r="D12" s="689"/>
    </row>
    <row r="13" spans="2:19" ht="18.75" hidden="1" x14ac:dyDescent="0.3">
      <c r="B13" s="294"/>
      <c r="C13" s="295" t="s">
        <v>102</v>
      </c>
      <c r="D13" s="296" t="s">
        <v>103</v>
      </c>
    </row>
    <row r="14" spans="2:19" ht="13.7" hidden="1" customHeight="1" thickBot="1" x14ac:dyDescent="0.25">
      <c r="B14" s="297" t="s">
        <v>101</v>
      </c>
      <c r="C14" s="62">
        <v>2014</v>
      </c>
      <c r="D14" s="298">
        <v>2015</v>
      </c>
      <c r="G14" s="33"/>
    </row>
    <row r="15" spans="2:19" ht="6.95" customHeight="1" x14ac:dyDescent="0.2">
      <c r="B15" s="299"/>
      <c r="C15" s="257"/>
      <c r="D15" s="77"/>
    </row>
    <row r="16" spans="2:19" ht="14.25" x14ac:dyDescent="0.2">
      <c r="B16" s="701" t="str">
        <f>IF(Name&gt;"",Name,IF(BusName&gt;"",BusName,""))</f>
        <v/>
      </c>
      <c r="C16" s="702"/>
      <c r="D16" s="703"/>
    </row>
    <row r="17" spans="2:12" ht="15" x14ac:dyDescent="0.2">
      <c r="B17" s="698" t="s">
        <v>141</v>
      </c>
      <c r="C17" s="699"/>
      <c r="D17" s="700"/>
    </row>
    <row r="18" spans="2:12" x14ac:dyDescent="0.2">
      <c r="B18" s="94" t="s">
        <v>142</v>
      </c>
      <c r="C18" s="79">
        <f>Year</f>
        <v>2015</v>
      </c>
      <c r="D18" s="80" t="str">
        <f>CONCATENATE(Year+1," Projected")</f>
        <v>2016 Projected</v>
      </c>
      <c r="E18" s="6"/>
      <c r="F18" s="9"/>
      <c r="G18" s="7"/>
      <c r="H18" s="7"/>
      <c r="I18" s="7"/>
      <c r="J18" s="7"/>
      <c r="K18" s="7"/>
      <c r="L18" s="7"/>
    </row>
    <row r="19" spans="2:12" x14ac:dyDescent="0.2">
      <c r="B19" s="284" t="s">
        <v>149</v>
      </c>
      <c r="C19" s="471"/>
      <c r="D19" s="472">
        <f>IF(CellEntry()="",IF(MCFSalesTot&lt;&gt;0,MCFSalesTot,0),CellEntry())</f>
        <v>0</v>
      </c>
      <c r="E19" s="6"/>
      <c r="F19" s="9"/>
      <c r="G19" s="7"/>
      <c r="H19" s="7"/>
      <c r="I19" s="7"/>
      <c r="J19" s="7"/>
      <c r="K19" s="7"/>
      <c r="L19" s="7"/>
    </row>
    <row r="20" spans="2:12" x14ac:dyDescent="0.2">
      <c r="B20" s="300" t="s">
        <v>14</v>
      </c>
      <c r="C20" s="473"/>
      <c r="D20" s="474">
        <f>IF(CellEntry()="",IF(MCFVesLeasTot&lt;&gt;0,MCFVesLeasTot,0),CellEntry())</f>
        <v>0</v>
      </c>
      <c r="E20" s="6"/>
      <c r="F20" s="63"/>
      <c r="G20" s="63"/>
      <c r="H20" s="7"/>
      <c r="I20" s="7"/>
      <c r="J20" s="7"/>
      <c r="K20" s="7"/>
      <c r="L20" s="7"/>
    </row>
    <row r="21" spans="2:12" x14ac:dyDescent="0.2">
      <c r="B21" s="300" t="s">
        <v>2</v>
      </c>
      <c r="C21" s="562">
        <f>C62-C63</f>
        <v>0</v>
      </c>
      <c r="D21" s="563">
        <f>IF(ACFVesSalesInput&lt;&gt;0,ACFVesSalesInput-ACFVesBSValInput,0)</f>
        <v>0</v>
      </c>
      <c r="E21" s="6"/>
      <c r="F21" s="79"/>
      <c r="G21" s="79"/>
      <c r="I21" s="7"/>
      <c r="J21" s="7"/>
      <c r="K21" s="7"/>
      <c r="L21" s="7"/>
    </row>
    <row r="22" spans="2:12" x14ac:dyDescent="0.2">
      <c r="B22" s="301" t="s">
        <v>88</v>
      </c>
      <c r="C22" s="562">
        <f>C64-C65</f>
        <v>0</v>
      </c>
      <c r="D22" s="563">
        <f>ACFPermitSaleInput-ACFPermitBSValInput</f>
        <v>0</v>
      </c>
      <c r="E22" s="6"/>
      <c r="F22" s="9"/>
      <c r="G22" s="7"/>
      <c r="H22" s="7"/>
      <c r="I22" s="7"/>
      <c r="J22" s="7"/>
      <c r="K22" s="7"/>
      <c r="L22" s="7"/>
    </row>
    <row r="23" spans="2:12" x14ac:dyDescent="0.2">
      <c r="B23" s="302" t="s">
        <v>87</v>
      </c>
      <c r="C23" s="473"/>
      <c r="D23" s="474">
        <f>IF(CellEntry()="",IF(MCFCrewEarnedTot&lt;&gt;0,MCFCrewEarnedTot,0),CellEntry())</f>
        <v>0</v>
      </c>
      <c r="E23" s="6"/>
      <c r="F23" s="9"/>
      <c r="G23" s="7"/>
      <c r="H23" s="7"/>
      <c r="I23" s="7"/>
      <c r="J23" s="7"/>
      <c r="K23" s="7"/>
      <c r="L23" s="7"/>
    </row>
    <row r="24" spans="2:12" x14ac:dyDescent="0.2">
      <c r="B24" s="285" t="s">
        <v>1</v>
      </c>
      <c r="C24" s="473"/>
      <c r="D24" s="474">
        <f>IF(CellEntry()="",IF(MCFOthTot&lt;&gt;0,MCFOthTot,0),CellEntry())</f>
        <v>0</v>
      </c>
      <c r="E24" s="6"/>
      <c r="F24" s="9"/>
      <c r="G24" s="7"/>
      <c r="H24" s="7"/>
      <c r="I24" s="7"/>
      <c r="J24" s="7"/>
      <c r="K24" s="7"/>
      <c r="L24" s="7"/>
    </row>
    <row r="25" spans="2:12" x14ac:dyDescent="0.2">
      <c r="B25" s="286" t="s">
        <v>235</v>
      </c>
      <c r="C25" s="475">
        <f>SUM(C19:C24)</f>
        <v>0</v>
      </c>
      <c r="D25" s="476">
        <f>SUM(D19:D24)</f>
        <v>0</v>
      </c>
      <c r="E25" s="6"/>
      <c r="F25" s="9"/>
      <c r="G25" s="7"/>
      <c r="H25" s="7"/>
      <c r="I25" s="7"/>
      <c r="J25" s="7"/>
      <c r="K25" s="7"/>
      <c r="L25" s="7"/>
    </row>
    <row r="26" spans="2:12" ht="0.95" customHeight="1" x14ac:dyDescent="0.2">
      <c r="B26" s="303"/>
      <c r="C26" s="477"/>
      <c r="D26" s="478"/>
      <c r="E26" s="6"/>
      <c r="F26" s="9"/>
      <c r="G26" s="7"/>
      <c r="H26" s="7"/>
      <c r="I26" s="7"/>
      <c r="J26" s="7"/>
      <c r="K26" s="7"/>
      <c r="L26" s="7"/>
    </row>
    <row r="27" spans="2:12" x14ac:dyDescent="0.2">
      <c r="B27" s="94" t="s">
        <v>143</v>
      </c>
      <c r="C27" s="477"/>
      <c r="D27" s="478"/>
      <c r="E27" s="6"/>
      <c r="F27" s="9"/>
      <c r="G27" s="9"/>
      <c r="H27" s="7"/>
      <c r="I27" s="7"/>
      <c r="J27" s="7"/>
      <c r="K27" s="7"/>
      <c r="L27" s="7"/>
    </row>
    <row r="28" spans="2:12" ht="13.5" customHeight="1" x14ac:dyDescent="0.2">
      <c r="B28" s="304" t="s">
        <v>86</v>
      </c>
      <c r="C28" s="471"/>
      <c r="D28" s="472">
        <f>IF(CellEntry()="",IF(MCFVCCrewTot&lt;&gt;0,MCFVCCrewTot,0),CellEntry())</f>
        <v>0</v>
      </c>
      <c r="E28" s="6"/>
      <c r="F28" s="9"/>
      <c r="G28" s="7"/>
      <c r="H28" s="7"/>
      <c r="I28" s="7"/>
      <c r="J28" s="7"/>
      <c r="K28" s="7"/>
      <c r="L28" s="7"/>
    </row>
    <row r="29" spans="2:12" ht="13.5" customHeight="1" x14ac:dyDescent="0.2">
      <c r="B29" s="305" t="s">
        <v>12</v>
      </c>
      <c r="C29" s="473"/>
      <c r="D29" s="474">
        <f>IF(CellEntry()="",IF(MCFVCCrewInsTot&lt;&gt;0,MCFVCCrewInsTot,0),CellEntry())</f>
        <v>0</v>
      </c>
      <c r="E29" s="6"/>
      <c r="F29" s="9"/>
      <c r="G29" s="7"/>
      <c r="H29" s="7"/>
      <c r="I29" s="7"/>
      <c r="J29" s="7"/>
      <c r="K29" s="7"/>
      <c r="L29" s="7"/>
    </row>
    <row r="30" spans="2:12" s="6" customFormat="1" ht="13.5" customHeight="1" x14ac:dyDescent="0.2">
      <c r="B30" s="305" t="s">
        <v>0</v>
      </c>
      <c r="C30" s="473"/>
      <c r="D30" s="474">
        <f>IF(CellEntry()="",IF(MCFVCProvisionsTot&lt;&gt;0,MCFVCProvisionsTot,0),CellEntry())</f>
        <v>0</v>
      </c>
      <c r="F30" s="9"/>
      <c r="G30" s="9"/>
      <c r="H30" s="9"/>
      <c r="I30" s="9"/>
      <c r="J30" s="9"/>
      <c r="K30" s="9"/>
      <c r="L30" s="9"/>
    </row>
    <row r="31" spans="2:12" ht="13.5" customHeight="1" x14ac:dyDescent="0.2">
      <c r="B31" s="304" t="s">
        <v>89</v>
      </c>
      <c r="C31" s="473"/>
      <c r="D31" s="474">
        <f>IF(CellEntry()="",IF(MCFVCFuelTot&lt;&gt;0,MCFVCFuelTot,0),CellEntry())</f>
        <v>0</v>
      </c>
      <c r="E31" s="2"/>
      <c r="F31" s="9"/>
      <c r="G31" s="7"/>
      <c r="H31" s="7"/>
      <c r="I31" s="7"/>
      <c r="J31" s="7"/>
      <c r="K31" s="7"/>
      <c r="L31" s="7"/>
    </row>
    <row r="32" spans="2:12" ht="13.5" customHeight="1" x14ac:dyDescent="0.2">
      <c r="B32" s="304" t="s">
        <v>90</v>
      </c>
      <c r="C32" s="473"/>
      <c r="D32" s="474">
        <f>IF(CellEntry()="",IF(MCFVCGearTot&lt;&gt;0,MCFVCGearTot,0),CellEntry())</f>
        <v>0</v>
      </c>
      <c r="E32" s="58"/>
      <c r="F32" s="9"/>
      <c r="G32" s="7"/>
      <c r="H32" s="7"/>
      <c r="I32" s="7"/>
      <c r="J32" s="7"/>
      <c r="K32" s="7"/>
      <c r="L32" s="7"/>
    </row>
    <row r="33" spans="2:13" ht="13.5" customHeight="1" x14ac:dyDescent="0.2">
      <c r="B33" s="306" t="s">
        <v>150</v>
      </c>
      <c r="C33" s="473"/>
      <c r="D33" s="474">
        <f>IF(CellEntry()="",IF(MCFVCRepairsTot&lt;&gt;0,MCFVCRepairsTot,0),CellEntry())</f>
        <v>0</v>
      </c>
      <c r="E33" s="58"/>
      <c r="F33" s="9"/>
      <c r="G33" s="7"/>
      <c r="H33" s="7"/>
      <c r="I33" s="7"/>
      <c r="J33" s="7"/>
      <c r="K33" s="7"/>
      <c r="L33" s="7"/>
    </row>
    <row r="34" spans="2:13" ht="13.5" customHeight="1" x14ac:dyDescent="0.2">
      <c r="B34" s="307" t="s">
        <v>11</v>
      </c>
      <c r="C34" s="473"/>
      <c r="D34" s="474">
        <f>IF(CellEntry()="",IF(MCFVCBaitTot&lt;&gt;0,MCFVCBaitTot,0),CellEntry())</f>
        <v>0</v>
      </c>
      <c r="E34" s="2"/>
      <c r="F34" s="9"/>
      <c r="G34" s="7"/>
      <c r="H34" s="7"/>
      <c r="I34" s="7"/>
      <c r="J34" s="7"/>
      <c r="K34" s="7"/>
      <c r="L34" s="7"/>
    </row>
    <row r="35" spans="2:13" ht="13.5" customHeight="1" x14ac:dyDescent="0.2">
      <c r="B35" s="304" t="s">
        <v>91</v>
      </c>
      <c r="C35" s="473"/>
      <c r="D35" s="474">
        <f>IF(CellEntry()="",IF(MCFVCMiscTot&lt;&gt;0,MCFVCMiscTot,0),CellEntry())</f>
        <v>0</v>
      </c>
      <c r="E35" s="2"/>
      <c r="F35" s="9"/>
      <c r="G35" s="7"/>
      <c r="H35" s="7"/>
      <c r="I35" s="7"/>
      <c r="J35" s="7"/>
      <c r="K35" s="7"/>
      <c r="L35" s="7"/>
    </row>
    <row r="36" spans="2:13" ht="13.5" customHeight="1" x14ac:dyDescent="0.2">
      <c r="B36" s="304" t="s">
        <v>92</v>
      </c>
      <c r="C36" s="473"/>
      <c r="D36" s="474">
        <f>IF(CellEntry()="",IF(MCFVCTaxesTot&lt;&gt;0,MCFVCTaxesTot,0),CellEntry())</f>
        <v>0</v>
      </c>
      <c r="E36" s="58"/>
      <c r="F36" s="9"/>
      <c r="G36" s="7"/>
      <c r="H36" s="7"/>
      <c r="I36" s="7"/>
      <c r="J36" s="7"/>
      <c r="K36" s="7"/>
      <c r="L36" s="7"/>
    </row>
    <row r="37" spans="2:13" ht="13.5" customHeight="1" x14ac:dyDescent="0.2">
      <c r="B37" s="308" t="s">
        <v>1</v>
      </c>
      <c r="C37" s="473"/>
      <c r="D37" s="474">
        <f>IF(CellEntry()="",IF(MCFVCOthTot&lt;&gt;0,MCFVCOthTot,0),CellEntry())</f>
        <v>0</v>
      </c>
      <c r="E37" s="6"/>
      <c r="F37" s="9"/>
      <c r="G37" s="7"/>
      <c r="H37" s="7"/>
      <c r="I37" s="7"/>
      <c r="J37" s="7"/>
      <c r="K37" s="7"/>
      <c r="L37" s="7"/>
    </row>
    <row r="38" spans="2:13" x14ac:dyDescent="0.2">
      <c r="B38" s="286" t="s">
        <v>242</v>
      </c>
      <c r="C38" s="475">
        <f>SUM(C28:C37)</f>
        <v>0</v>
      </c>
      <c r="D38" s="476">
        <f>SUM(D28:D37)</f>
        <v>0</v>
      </c>
      <c r="F38" s="7"/>
      <c r="G38" s="7"/>
      <c r="H38" s="7"/>
      <c r="I38" s="7"/>
      <c r="J38" s="7"/>
      <c r="K38" s="7"/>
      <c r="L38" s="7"/>
    </row>
    <row r="39" spans="2:13" ht="0.95" customHeight="1" x14ac:dyDescent="0.2">
      <c r="B39" s="303"/>
      <c r="C39" s="477"/>
      <c r="D39" s="478"/>
      <c r="F39" s="7"/>
      <c r="G39" s="7"/>
      <c r="H39" s="7"/>
      <c r="I39" s="7"/>
      <c r="J39" s="7"/>
      <c r="K39" s="7"/>
      <c r="L39" s="7"/>
    </row>
    <row r="40" spans="2:13" x14ac:dyDescent="0.2">
      <c r="B40" s="94" t="s">
        <v>144</v>
      </c>
      <c r="C40" s="477"/>
      <c r="D40" s="478"/>
      <c r="F40" s="7"/>
      <c r="G40" s="7"/>
      <c r="H40" s="7"/>
      <c r="I40" s="7"/>
      <c r="J40" s="7"/>
      <c r="K40" s="7"/>
      <c r="L40" s="7"/>
    </row>
    <row r="41" spans="2:13" s="6" customFormat="1" x14ac:dyDescent="0.2">
      <c r="B41" s="305" t="s">
        <v>7</v>
      </c>
      <c r="C41" s="471"/>
      <c r="D41" s="472">
        <f>IF(CellEntry()="",IF(MCFFCPortTot&lt;&gt;0,MCFFCPortTot,0),CellEntry())</f>
        <v>0</v>
      </c>
      <c r="F41" s="9"/>
      <c r="G41" s="9"/>
      <c r="H41" s="9"/>
      <c r="I41" s="9"/>
      <c r="J41" s="9"/>
      <c r="K41" s="9"/>
      <c r="L41" s="9"/>
    </row>
    <row r="42" spans="2:13" s="6" customFormat="1" x14ac:dyDescent="0.2">
      <c r="B42" s="309" t="s">
        <v>85</v>
      </c>
      <c r="C42" s="473"/>
      <c r="D42" s="474">
        <f>IF(CellEntry()="",IF(MCFFCPermitTot&lt;&gt;0,MCFFCPermitTot,0),CellEntry())</f>
        <v>0</v>
      </c>
      <c r="E42" s="58"/>
      <c r="F42" s="9"/>
      <c r="G42" s="9"/>
      <c r="H42" s="9"/>
      <c r="I42" s="9"/>
      <c r="J42" s="9"/>
      <c r="K42" s="9"/>
      <c r="L42" s="9"/>
    </row>
    <row r="43" spans="2:13" s="6" customFormat="1" x14ac:dyDescent="0.2">
      <c r="B43" s="310" t="s">
        <v>156</v>
      </c>
      <c r="C43" s="473"/>
      <c r="D43" s="474">
        <f>IF(CellEntry()="",IF(MCFFCInterestTot&lt;&gt;0,MCFFCInterestTot,0),CellEntry())</f>
        <v>0</v>
      </c>
      <c r="E43" s="58"/>
      <c r="F43" s="9"/>
      <c r="G43" s="9"/>
      <c r="H43" s="9"/>
      <c r="I43" s="9"/>
      <c r="J43" s="9"/>
      <c r="K43" s="9"/>
      <c r="L43" s="9"/>
    </row>
    <row r="44" spans="2:13" s="6" customFormat="1" x14ac:dyDescent="0.2">
      <c r="B44" s="310" t="s">
        <v>120</v>
      </c>
      <c r="C44" s="473"/>
      <c r="D44" s="474">
        <f>IF(CellEntry()="",IF(MCFFCDeprTot&lt;&gt;0,MCFFCDeprTot,0),CellEntry())</f>
        <v>0</v>
      </c>
      <c r="E44" s="64"/>
      <c r="G44" s="9"/>
      <c r="H44" s="9"/>
      <c r="I44" s="9"/>
      <c r="J44" s="9"/>
      <c r="K44" s="9"/>
      <c r="L44" s="9"/>
    </row>
    <row r="45" spans="2:13" s="6" customFormat="1" x14ac:dyDescent="0.2">
      <c r="B45" s="304" t="s">
        <v>104</v>
      </c>
      <c r="C45" s="473"/>
      <c r="D45" s="474">
        <f>IF(CellEntry()="",IF(MCFFCAmortTot&lt;&gt;0,MCFFCAmortTot,0),CellEntry())</f>
        <v>0</v>
      </c>
      <c r="E45" s="65"/>
      <c r="F45" s="65"/>
      <c r="G45" s="9"/>
      <c r="H45" s="9"/>
      <c r="I45" s="9"/>
      <c r="J45" s="9"/>
      <c r="K45" s="9"/>
      <c r="L45" s="9"/>
      <c r="M45" s="567" t="str">
        <f>CONCATENATE("Variable Fishing Costs - ",Year1)</f>
        <v>Variable Fishing Costs - 2015</v>
      </c>
    </row>
    <row r="46" spans="2:13" x14ac:dyDescent="0.2">
      <c r="B46" s="305" t="s">
        <v>13</v>
      </c>
      <c r="C46" s="473"/>
      <c r="D46" s="474">
        <f>IF(CellEntry()="",IF(MCFFCVesInsTot&lt;&gt;0,MCFFCVesInsTot,0),CellEntry())</f>
        <v>0</v>
      </c>
      <c r="E46" s="2"/>
      <c r="F46" s="7"/>
      <c r="G46" s="7"/>
      <c r="H46" s="7"/>
      <c r="I46" s="7"/>
      <c r="J46" s="7"/>
      <c r="K46" s="7"/>
      <c r="L46" s="7"/>
    </row>
    <row r="47" spans="2:13" x14ac:dyDescent="0.2">
      <c r="B47" s="309" t="s">
        <v>93</v>
      </c>
      <c r="C47" s="473"/>
      <c r="D47" s="474">
        <f>IF(CellEntry()="",IF(MCFFCProfTot&lt;&gt;0,MCFFCProfTot,0),CellEntry())</f>
        <v>0</v>
      </c>
      <c r="E47" s="58"/>
      <c r="F47" s="7"/>
      <c r="G47" s="7"/>
      <c r="H47" s="7"/>
      <c r="I47" s="7"/>
      <c r="J47" s="7"/>
      <c r="K47" s="7"/>
      <c r="L47" s="7"/>
    </row>
    <row r="48" spans="2:13" x14ac:dyDescent="0.2">
      <c r="B48" s="306" t="s">
        <v>119</v>
      </c>
      <c r="C48" s="473"/>
      <c r="D48" s="474">
        <f>IF(CellEntry()="",IF(MCFFCPropTaxTot&lt;&gt;0,MCFFCPropTaxTot,0),CellEntry())</f>
        <v>0</v>
      </c>
      <c r="E48" s="58"/>
      <c r="F48" s="7"/>
      <c r="G48" s="7"/>
      <c r="H48" s="7"/>
      <c r="I48" s="7"/>
      <c r="J48" s="7"/>
      <c r="K48" s="7"/>
      <c r="L48" s="7"/>
    </row>
    <row r="49" spans="2:12" x14ac:dyDescent="0.2">
      <c r="B49" s="304" t="s">
        <v>94</v>
      </c>
      <c r="C49" s="473"/>
      <c r="D49" s="474">
        <f>IF(CellEntry()="",IF(MCFFCMiscTot&lt;&gt;0,MCFFCMiscTot,0),CellEntry())</f>
        <v>0</v>
      </c>
      <c r="E49" s="58"/>
      <c r="F49" s="7"/>
      <c r="G49" s="7"/>
      <c r="H49" s="7"/>
      <c r="I49" s="7"/>
      <c r="J49" s="7"/>
      <c r="K49" s="7"/>
      <c r="L49" s="7"/>
    </row>
    <row r="50" spans="2:12" x14ac:dyDescent="0.2">
      <c r="B50" s="311" t="s">
        <v>1</v>
      </c>
      <c r="C50" s="473"/>
      <c r="D50" s="474">
        <f>IF(CellEntry()="",IF(MCFFCOthTot&lt;&gt;0,MCFFCOthTot,0),CellEntry())</f>
        <v>0</v>
      </c>
      <c r="F50" s="7"/>
      <c r="G50" s="7"/>
      <c r="H50" s="7"/>
      <c r="I50" s="7"/>
      <c r="J50" s="7"/>
      <c r="K50" s="7"/>
      <c r="L50" s="7"/>
    </row>
    <row r="51" spans="2:12" x14ac:dyDescent="0.2">
      <c r="B51" s="288" t="s">
        <v>243</v>
      </c>
      <c r="C51" s="475">
        <f>SUM(C41:C50)</f>
        <v>0</v>
      </c>
      <c r="D51" s="476">
        <f>SUM(D41:D50)</f>
        <v>0</v>
      </c>
      <c r="F51" s="7"/>
      <c r="G51" s="7"/>
      <c r="H51" s="7"/>
      <c r="I51" s="7"/>
      <c r="J51" s="7"/>
      <c r="K51" s="7"/>
      <c r="L51" s="7"/>
    </row>
    <row r="52" spans="2:12" ht="0.95" customHeight="1" x14ac:dyDescent="0.2">
      <c r="B52" s="288"/>
      <c r="C52" s="479"/>
      <c r="D52" s="480"/>
      <c r="F52" s="7"/>
      <c r="G52" s="7"/>
      <c r="H52" s="7"/>
      <c r="I52" s="7"/>
      <c r="J52" s="7"/>
      <c r="K52" s="7"/>
      <c r="L52" s="7"/>
    </row>
    <row r="53" spans="2:12" x14ac:dyDescent="0.2">
      <c r="B53" s="288" t="s">
        <v>239</v>
      </c>
      <c r="C53" s="475">
        <f>C38+C51</f>
        <v>0</v>
      </c>
      <c r="D53" s="476">
        <f>D38+D51</f>
        <v>0</v>
      </c>
      <c r="F53" s="7"/>
      <c r="G53" s="7"/>
      <c r="H53" s="7"/>
      <c r="I53" s="7"/>
      <c r="J53" s="7"/>
      <c r="K53" s="7"/>
      <c r="L53" s="7"/>
    </row>
    <row r="54" spans="2:12" ht="0.95" customHeight="1" x14ac:dyDescent="0.2">
      <c r="B54" s="288"/>
      <c r="C54" s="477"/>
      <c r="D54" s="480"/>
      <c r="F54" s="7"/>
      <c r="G54" s="7"/>
      <c r="H54" s="7"/>
      <c r="I54" s="7"/>
      <c r="J54" s="7"/>
      <c r="K54" s="7"/>
      <c r="L54" s="7"/>
    </row>
    <row r="55" spans="2:12" s="11" customFormat="1" ht="16.5" thickBot="1" x14ac:dyDescent="0.3">
      <c r="B55" s="76" t="s">
        <v>240</v>
      </c>
      <c r="C55" s="481">
        <f>C25-C53</f>
        <v>0</v>
      </c>
      <c r="D55" s="482">
        <f>D25-D53</f>
        <v>0</v>
      </c>
      <c r="E55" s="278">
        <f ca="1">OFFSET(C55,0,0,1,1)</f>
        <v>0</v>
      </c>
      <c r="F55" s="278">
        <f ca="1">OFFSET(D55,0,0,1,1)</f>
        <v>0</v>
      </c>
      <c r="G55" s="12"/>
      <c r="H55" s="12"/>
      <c r="I55" s="12"/>
      <c r="J55" s="12"/>
      <c r="K55" s="12"/>
      <c r="L55" s="12"/>
    </row>
    <row r="56" spans="2:12" ht="0.95" customHeight="1" thickTop="1" x14ac:dyDescent="0.2">
      <c r="B56" s="78"/>
      <c r="C56" s="477"/>
      <c r="D56" s="478"/>
      <c r="E56" s="6"/>
      <c r="F56" s="6"/>
    </row>
    <row r="57" spans="2:12" ht="12.75" customHeight="1" x14ac:dyDescent="0.2">
      <c r="B57" s="289" t="s">
        <v>155</v>
      </c>
      <c r="C57" s="483">
        <f>C21+C22</f>
        <v>0</v>
      </c>
      <c r="D57" s="484">
        <f>D21+D22</f>
        <v>0</v>
      </c>
      <c r="E57" s="281"/>
      <c r="F57" s="6"/>
    </row>
    <row r="58" spans="2:12" x14ac:dyDescent="0.2">
      <c r="B58" s="289" t="s">
        <v>154</v>
      </c>
      <c r="C58" s="483">
        <f>C44+C45</f>
        <v>0</v>
      </c>
      <c r="D58" s="484">
        <f>D44+D45</f>
        <v>0</v>
      </c>
      <c r="E58" s="282"/>
      <c r="F58" s="6"/>
    </row>
    <row r="59" spans="2:12" x14ac:dyDescent="0.2">
      <c r="B59" s="289" t="s">
        <v>157</v>
      </c>
      <c r="C59" s="477"/>
      <c r="D59" s="478">
        <f>IF(CellEntry()="",IF(MCFPrinTot&lt;&gt;0,MCFPrinTot,0),CellEntry())</f>
        <v>0</v>
      </c>
      <c r="E59" s="282"/>
      <c r="F59" s="6"/>
    </row>
    <row r="60" spans="2:12" x14ac:dyDescent="0.2">
      <c r="B60" s="289" t="s">
        <v>285</v>
      </c>
      <c r="C60" s="477"/>
      <c r="D60" s="478">
        <f>IF(CellEntry()="",IF(MCFCapPurchTot&lt;&gt;0,MCFCapPurchTot,0),CellEntry())</f>
        <v>0</v>
      </c>
      <c r="E60" s="282"/>
      <c r="F60" s="6"/>
    </row>
    <row r="61" spans="2:12" x14ac:dyDescent="0.2">
      <c r="B61" s="289" t="s">
        <v>286</v>
      </c>
      <c r="C61" s="477"/>
      <c r="D61" s="478">
        <f>IF(CellEntry()="",IF(MCFCapPurchTot&lt;&gt;0,MCFCapPurchTot,0),CellEntry())</f>
        <v>0</v>
      </c>
      <c r="E61" s="282"/>
      <c r="F61" s="6"/>
    </row>
    <row r="62" spans="2:12" x14ac:dyDescent="0.2">
      <c r="B62" s="289" t="s">
        <v>152</v>
      </c>
      <c r="C62" s="477"/>
      <c r="D62" s="478">
        <f>IF(CellEntry()="",IF(MCFVesSalesTot&lt;&gt;0,MCFVesSalesTot,0),CellEntry())</f>
        <v>0</v>
      </c>
      <c r="E62" s="282"/>
      <c r="F62" s="6"/>
    </row>
    <row r="63" spans="2:12" x14ac:dyDescent="0.2">
      <c r="B63" s="289" t="s">
        <v>324</v>
      </c>
      <c r="C63" s="477"/>
      <c r="D63" s="478">
        <f>IF(CellEntry()="",IF(MCFVesBSValTot&lt;&gt;0,MCFVesBSValTot,0),CellEntry())</f>
        <v>0</v>
      </c>
      <c r="E63" s="282"/>
      <c r="F63" s="6"/>
    </row>
    <row r="64" spans="2:12" x14ac:dyDescent="0.2">
      <c r="B64" s="289" t="s">
        <v>151</v>
      </c>
      <c r="C64" s="477"/>
      <c r="D64" s="478">
        <f>IF(CellEntry()="",IF(MCFQuotaSaleTot&lt;&gt;0,MCFQuotaSaleTot,0),CellEntry())</f>
        <v>0</v>
      </c>
      <c r="E64" s="282"/>
      <c r="F64" s="6"/>
    </row>
    <row r="65" spans="1:13" x14ac:dyDescent="0.2">
      <c r="B65" s="289" t="s">
        <v>325</v>
      </c>
      <c r="C65" s="477"/>
      <c r="D65" s="478">
        <f>IF(CellEntry()="",IF(MCFQuotaBSValTot&lt;&gt;0,MCFQuotaBSValTot,0),CellEntry())</f>
        <v>0</v>
      </c>
      <c r="E65" s="282"/>
      <c r="F65" s="6"/>
    </row>
    <row r="66" spans="1:13" ht="0.95" customHeight="1" x14ac:dyDescent="0.2">
      <c r="B66" s="78"/>
      <c r="C66" s="477"/>
      <c r="D66" s="478"/>
      <c r="E66" s="6"/>
      <c r="F66" s="6"/>
    </row>
    <row r="67" spans="1:13" ht="16.5" thickBot="1" x14ac:dyDescent="0.3">
      <c r="B67" s="290" t="s">
        <v>241</v>
      </c>
      <c r="C67" s="485">
        <f>C55-C57+C58-C59+C62+C65-C61+C60</f>
        <v>0</v>
      </c>
      <c r="D67" s="485">
        <f>D55-D57+D58-D59+D62+D64-D61+D60</f>
        <v>0</v>
      </c>
      <c r="E67" s="61"/>
      <c r="F67" s="6"/>
    </row>
    <row r="68" spans="1:13" ht="0.95" customHeight="1" thickTop="1" thickBot="1" x14ac:dyDescent="0.3">
      <c r="B68" s="291"/>
      <c r="C68" s="312"/>
      <c r="D68" s="313"/>
      <c r="E68" s="61"/>
      <c r="F68" s="6"/>
    </row>
    <row r="69" spans="1:13" ht="5.0999999999999996" customHeight="1" thickTop="1" x14ac:dyDescent="0.2">
      <c r="A69" t="s">
        <v>252</v>
      </c>
      <c r="B69" s="13"/>
      <c r="E69" s="268"/>
      <c r="F69" s="266"/>
    </row>
    <row r="70" spans="1:13" x14ac:dyDescent="0.2">
      <c r="B70" s="684" t="str">
        <f>IF(ProjTime="Annual","Income Statement &amp; Annual Cash Flow","Income Statement &amp; Monthly Cash Flow Summary")</f>
        <v>Income Statement &amp; Monthly Cash Flow Summary</v>
      </c>
      <c r="C70" s="685"/>
      <c r="D70" s="686"/>
    </row>
    <row r="71" spans="1:13" ht="12.75" customHeight="1" x14ac:dyDescent="0.2">
      <c r="B71" s="687"/>
      <c r="C71" s="688"/>
      <c r="D71" s="689"/>
      <c r="M71" s="566" t="str">
        <f>CONCATENATE("Variable Direct Marketing Costs - ",Year1)</f>
        <v>Variable Direct Marketing Costs - 2015</v>
      </c>
    </row>
    <row r="72" spans="1:13" ht="18.75" customHeight="1" x14ac:dyDescent="0.2">
      <c r="B72" s="687"/>
      <c r="C72" s="688"/>
      <c r="D72" s="689"/>
    </row>
    <row r="73" spans="1:13" ht="18.75" hidden="1" customHeight="1" x14ac:dyDescent="0.3">
      <c r="B73" s="294"/>
      <c r="C73" s="295" t="s">
        <v>102</v>
      </c>
      <c r="D73" s="296" t="s">
        <v>103</v>
      </c>
    </row>
    <row r="74" spans="1:13" ht="13.7" hidden="1" customHeight="1" x14ac:dyDescent="0.2">
      <c r="B74" s="297" t="s">
        <v>101</v>
      </c>
      <c r="C74" s="62">
        <v>2014</v>
      </c>
      <c r="D74" s="298">
        <v>2015</v>
      </c>
      <c r="G74" s="33"/>
    </row>
    <row r="75" spans="1:13" ht="6.95" customHeight="1" x14ac:dyDescent="0.2">
      <c r="B75" s="299"/>
      <c r="C75" s="257"/>
      <c r="D75" s="77"/>
    </row>
    <row r="76" spans="1:13" ht="14.25" x14ac:dyDescent="0.2">
      <c r="B76" s="690" t="str">
        <f>$B$16</f>
        <v/>
      </c>
      <c r="C76" s="691"/>
      <c r="D76" s="692"/>
    </row>
    <row r="77" spans="1:13" ht="15" x14ac:dyDescent="0.2">
      <c r="A77" t="s">
        <v>250</v>
      </c>
      <c r="B77" s="681" t="s">
        <v>140</v>
      </c>
      <c r="C77" s="682"/>
      <c r="D77" s="683"/>
      <c r="E77" s="267"/>
      <c r="F77" s="247"/>
    </row>
    <row r="78" spans="1:13" x14ac:dyDescent="0.2">
      <c r="A78" t="s">
        <v>250</v>
      </c>
      <c r="B78" s="94" t="s">
        <v>145</v>
      </c>
      <c r="C78" s="79">
        <f>Year1</f>
        <v>2015</v>
      </c>
      <c r="D78" s="80" t="str">
        <f>Year2</f>
        <v>2016 Projected</v>
      </c>
      <c r="E78" s="267"/>
      <c r="F78" s="247"/>
    </row>
    <row r="79" spans="1:13" x14ac:dyDescent="0.2">
      <c r="A79" t="s">
        <v>250</v>
      </c>
      <c r="B79" s="284" t="s">
        <v>130</v>
      </c>
      <c r="C79" s="471"/>
      <c r="D79" s="472">
        <f>IF(CellEntry()="",IF(MCFDMSalesTot&lt;&gt;0,MCFDMSalesTot,0),CellEntry())</f>
        <v>0</v>
      </c>
      <c r="E79" s="267"/>
      <c r="F79" s="247"/>
    </row>
    <row r="80" spans="1:13" x14ac:dyDescent="0.2">
      <c r="A80" t="s">
        <v>250</v>
      </c>
      <c r="B80" s="284" t="s">
        <v>131</v>
      </c>
      <c r="C80" s="473"/>
      <c r="D80" s="474">
        <f>IF(CellEntry()="",IF(MCFDMEtcTot&lt;&gt;0,MCFDMEtcTot,0),CellEntry())</f>
        <v>0</v>
      </c>
      <c r="E80" s="267"/>
      <c r="F80" s="247"/>
    </row>
    <row r="81" spans="1:13" x14ac:dyDescent="0.2">
      <c r="A81" t="s">
        <v>250</v>
      </c>
      <c r="B81" s="284" t="s">
        <v>132</v>
      </c>
      <c r="C81" s="562">
        <f>C118-C119</f>
        <v>0</v>
      </c>
      <c r="D81" s="563">
        <f>ACFDMSaleShoreInput-ACFDMSaleShoreBSValInput</f>
        <v>0</v>
      </c>
      <c r="E81" s="267"/>
      <c r="F81" s="247"/>
    </row>
    <row r="82" spans="1:13" x14ac:dyDescent="0.2">
      <c r="A82" t="s">
        <v>250</v>
      </c>
      <c r="B82" s="285" t="s">
        <v>1</v>
      </c>
      <c r="C82" s="473"/>
      <c r="D82" s="474">
        <f>IF(CellEntry()="",IF(MCFDMOthTot&lt;&gt;0,MCFDMOthTot,0),CellEntry())</f>
        <v>0</v>
      </c>
      <c r="E82" s="267"/>
      <c r="F82" s="247"/>
    </row>
    <row r="83" spans="1:13" x14ac:dyDescent="0.2">
      <c r="A83" t="s">
        <v>250</v>
      </c>
      <c r="B83" s="286" t="s">
        <v>234</v>
      </c>
      <c r="C83" s="486">
        <f>SUM(C79:C82)</f>
        <v>0</v>
      </c>
      <c r="D83" s="487">
        <f>SUM(D79:D82)</f>
        <v>0</v>
      </c>
      <c r="E83" s="566">
        <f ca="1">IF(HowSell="Direct to Processor","",OFFSET(C83,0,0,1,1))</f>
        <v>0</v>
      </c>
      <c r="F83" s="566">
        <f ca="1">IF(HowSell="Direct to Processor","",OFFSET(D81,0,0,1,1))</f>
        <v>0</v>
      </c>
    </row>
    <row r="84" spans="1:13" ht="6.95" customHeight="1" x14ac:dyDescent="0.2">
      <c r="A84" t="s">
        <v>250</v>
      </c>
      <c r="B84" s="78"/>
      <c r="C84" s="477"/>
      <c r="D84" s="478"/>
      <c r="E84" s="267"/>
      <c r="F84" s="247"/>
    </row>
    <row r="85" spans="1:13" x14ac:dyDescent="0.2">
      <c r="A85" t="s">
        <v>250</v>
      </c>
      <c r="B85" s="94" t="s">
        <v>146</v>
      </c>
      <c r="C85" s="564"/>
      <c r="D85" s="565"/>
      <c r="E85" s="267"/>
      <c r="F85" s="247"/>
      <c r="M85" s="566" t="str">
        <f t="shared" ref="M85:M95" ca="1" si="1">IF(HowSell="Direct to Processor","",OFFSET(B85,0,0,1,1))</f>
        <v>Direct Marketing Variable Costs</v>
      </c>
    </row>
    <row r="86" spans="1:13" x14ac:dyDescent="0.2">
      <c r="A86" t="s">
        <v>250</v>
      </c>
      <c r="B86" s="284" t="s">
        <v>105</v>
      </c>
      <c r="C86" s="477"/>
      <c r="D86" s="478">
        <f>IF(CellEntry()="",IF(MCFDMVCLaborTot&lt;&gt;0,MCFDMVCLaborTot,0),CellEntry())</f>
        <v>0</v>
      </c>
      <c r="E86" s="566">
        <f t="shared" ref="E86:E95" ca="1" si="2">IF(HowSell="Direct to Processor","",OFFSET(C86,0,0,1,1))</f>
        <v>0</v>
      </c>
      <c r="F86" s="247"/>
      <c r="M86" s="566" t="str">
        <f t="shared" ca="1" si="1"/>
        <v>Labor</v>
      </c>
    </row>
    <row r="87" spans="1:13" x14ac:dyDescent="0.2">
      <c r="A87" t="s">
        <v>250</v>
      </c>
      <c r="B87" s="284" t="s">
        <v>96</v>
      </c>
      <c r="C87" s="477"/>
      <c r="D87" s="478">
        <f>IF(CellEntry()="",IF(MCFDMVCInsTot&lt;&gt;0,MCFDMVCInsTot,0),CellEntry())</f>
        <v>0</v>
      </c>
      <c r="E87" s="566">
        <f t="shared" ca="1" si="2"/>
        <v>0</v>
      </c>
      <c r="F87" s="247"/>
      <c r="M87" s="566" t="str">
        <f t="shared" ca="1" si="1"/>
        <v>Insurance</v>
      </c>
    </row>
    <row r="88" spans="1:13" x14ac:dyDescent="0.2">
      <c r="A88" t="s">
        <v>250</v>
      </c>
      <c r="B88" s="284" t="s">
        <v>106</v>
      </c>
      <c r="C88" s="477"/>
      <c r="D88" s="478">
        <f>IF(CellEntry()="",IF(MCFDMVCPackTot&lt;&gt;0,MCFDMVCPackTot,0),CellEntry())</f>
        <v>0</v>
      </c>
      <c r="E88" s="566">
        <f t="shared" ca="1" si="2"/>
        <v>0</v>
      </c>
      <c r="F88" s="247"/>
      <c r="M88" s="566" t="str">
        <f t="shared" ca="1" si="1"/>
        <v>Packaging</v>
      </c>
    </row>
    <row r="89" spans="1:13" x14ac:dyDescent="0.2">
      <c r="A89" t="s">
        <v>250</v>
      </c>
      <c r="B89" s="284" t="s">
        <v>127</v>
      </c>
      <c r="C89" s="477"/>
      <c r="D89" s="478">
        <f>IF(CellEntry()="",IF(MCFDMVCSuppliesTot&lt;&gt;0,MCFDMVCSuppliesTot,0),CellEntry())</f>
        <v>0</v>
      </c>
      <c r="E89" s="566">
        <f t="shared" ca="1" si="2"/>
        <v>0</v>
      </c>
      <c r="F89" s="247"/>
      <c r="M89" s="566" t="str">
        <f t="shared" ca="1" si="1"/>
        <v>Processing Supplies</v>
      </c>
    </row>
    <row r="90" spans="1:13" x14ac:dyDescent="0.2">
      <c r="A90" t="s">
        <v>250</v>
      </c>
      <c r="B90" s="284" t="s">
        <v>107</v>
      </c>
      <c r="C90" s="477"/>
      <c r="D90" s="478">
        <f>IF(CellEntry()="",IF(MCFDMVCShippingTot&lt;&gt;0,MCFDMVCShippingTot,0),CellEntry())</f>
        <v>0</v>
      </c>
      <c r="E90" s="566">
        <f t="shared" ca="1" si="2"/>
        <v>0</v>
      </c>
      <c r="F90" s="247"/>
      <c r="M90" s="566" t="str">
        <f t="shared" ca="1" si="1"/>
        <v>Shipping</v>
      </c>
    </row>
    <row r="91" spans="1:13" x14ac:dyDescent="0.2">
      <c r="A91" t="s">
        <v>250</v>
      </c>
      <c r="B91" s="284" t="s">
        <v>95</v>
      </c>
      <c r="C91" s="477"/>
      <c r="D91" s="478">
        <f>IF(CellEntry()="",IF(MCFDMVCUtilTot&lt;&gt;0,MCFDMVCUtilTot,0),CellEntry())</f>
        <v>0</v>
      </c>
      <c r="E91" s="566">
        <f t="shared" ca="1" si="2"/>
        <v>0</v>
      </c>
      <c r="F91" s="247"/>
      <c r="M91" s="566" t="str">
        <f t="shared" ca="1" si="1"/>
        <v>Utilities</v>
      </c>
    </row>
    <row r="92" spans="1:13" x14ac:dyDescent="0.2">
      <c r="A92" t="s">
        <v>250</v>
      </c>
      <c r="B92" s="284" t="s">
        <v>122</v>
      </c>
      <c r="C92" s="477"/>
      <c r="D92" s="478">
        <f>IF(CellEntry()="",IF(MCFDMVCColdTot&lt;&gt;0,MCFDMVCColdTot,0),CellEntry())</f>
        <v>0</v>
      </c>
      <c r="E92" s="566">
        <f t="shared" ca="1" si="2"/>
        <v>0</v>
      </c>
      <c r="F92" s="247"/>
      <c r="M92" s="566" t="str">
        <f t="shared" ca="1" si="1"/>
        <v>Cold Storage Fees</v>
      </c>
    </row>
    <row r="93" spans="1:13" x14ac:dyDescent="0.2">
      <c r="A93" t="s">
        <v>250</v>
      </c>
      <c r="B93" s="284" t="s">
        <v>158</v>
      </c>
      <c r="C93" s="477"/>
      <c r="D93" s="478">
        <f>IF(CellEntry()="",IF(MCFDMVCPurchFinTot&lt;&gt;0,MCFDMVCPurchFinTot,0),CellEntry())</f>
        <v>0</v>
      </c>
      <c r="E93" s="566">
        <f t="shared" ca="1" si="2"/>
        <v>0</v>
      </c>
      <c r="F93" s="247"/>
      <c r="M93" s="566" t="str">
        <f t="shared" ca="1" si="1"/>
        <v>Purchased Finished Product</v>
      </c>
    </row>
    <row r="94" spans="1:13" x14ac:dyDescent="0.2">
      <c r="A94" t="s">
        <v>250</v>
      </c>
      <c r="B94" s="284" t="s">
        <v>124</v>
      </c>
      <c r="C94" s="477"/>
      <c r="D94" s="478">
        <f>IF(CellEntry()="",IF(MCFDMVCMiscTot&lt;&gt;0,MCFDMVCMiscTot,0),CellEntry())</f>
        <v>0</v>
      </c>
      <c r="E94" s="566">
        <f t="shared" ca="1" si="2"/>
        <v>0</v>
      </c>
      <c r="F94" s="247"/>
      <c r="M94" s="566" t="str">
        <f t="shared" ca="1" si="1"/>
        <v>Misc Direct Mkt Variable Costs</v>
      </c>
    </row>
    <row r="95" spans="1:13" x14ac:dyDescent="0.2">
      <c r="A95" t="s">
        <v>250</v>
      </c>
      <c r="B95" s="284" t="s">
        <v>125</v>
      </c>
      <c r="C95" s="477"/>
      <c r="D95" s="478">
        <f>IF(CellEntry()="",IF(MCFDMVCOthTot&lt;&gt;0,MCFDMVCOthTot,0),CellEntry())</f>
        <v>0</v>
      </c>
      <c r="E95" s="566">
        <f t="shared" ca="1" si="2"/>
        <v>0</v>
      </c>
      <c r="F95" s="247"/>
      <c r="M95" s="566" t="str">
        <f t="shared" ca="1" si="1"/>
        <v>Other Direct Mkt Variable Costs</v>
      </c>
    </row>
    <row r="96" spans="1:13" x14ac:dyDescent="0.2">
      <c r="A96" t="s">
        <v>250</v>
      </c>
      <c r="B96" s="286" t="s">
        <v>128</v>
      </c>
      <c r="C96" s="488">
        <f>SUM(C86:C95)</f>
        <v>0</v>
      </c>
      <c r="D96" s="489">
        <f>SUM(D86:D95)</f>
        <v>0</v>
      </c>
      <c r="E96" s="566">
        <f ca="1">IF(HowSell="Direct to Processor","",OFFSET(C94,0,0,1,1))</f>
        <v>0</v>
      </c>
      <c r="F96" s="267">
        <f ca="1">IF(HowSell="Direct to Processor","",OFFSET(D94,0,0,1,1))</f>
        <v>0</v>
      </c>
    </row>
    <row r="97" spans="1:6" ht="6.95" customHeight="1" x14ac:dyDescent="0.2">
      <c r="A97" t="s">
        <v>250</v>
      </c>
      <c r="B97" s="287"/>
      <c r="C97" s="477"/>
      <c r="D97" s="490"/>
      <c r="E97" s="267"/>
      <c r="F97" s="247"/>
    </row>
    <row r="98" spans="1:6" x14ac:dyDescent="0.2">
      <c r="A98" t="s">
        <v>250</v>
      </c>
      <c r="B98" s="94" t="s">
        <v>147</v>
      </c>
      <c r="C98" s="477"/>
      <c r="D98" s="490"/>
      <c r="E98" s="267"/>
      <c r="F98" s="247"/>
    </row>
    <row r="99" spans="1:6" x14ac:dyDescent="0.2">
      <c r="A99" t="s">
        <v>250</v>
      </c>
      <c r="B99" s="284" t="s">
        <v>121</v>
      </c>
      <c r="C99" s="477"/>
      <c r="D99" s="478">
        <f>IF(CellEntry()="",IF(MCFDMFCRentTot&lt;&gt;0,MCFDMFCRentTot,0),CellEntry())</f>
        <v>0</v>
      </c>
      <c r="E99" s="267"/>
      <c r="F99" s="247"/>
    </row>
    <row r="100" spans="1:6" x14ac:dyDescent="0.2">
      <c r="A100" t="s">
        <v>250</v>
      </c>
      <c r="B100" s="284" t="s">
        <v>108</v>
      </c>
      <c r="C100" s="477"/>
      <c r="D100" s="478">
        <f>IF(CellEntry()="",IF(MCFDMFCPromoTot&lt;&gt;0,MCFDMFCPromoTot,0),CellEntry())</f>
        <v>0</v>
      </c>
      <c r="E100" s="267"/>
      <c r="F100" s="247"/>
    </row>
    <row r="101" spans="1:6" x14ac:dyDescent="0.2">
      <c r="A101" t="s">
        <v>250</v>
      </c>
      <c r="B101" s="284" t="s">
        <v>109</v>
      </c>
      <c r="C101" s="477"/>
      <c r="D101" s="478">
        <f>IF(CellEntry()="",IF(MCFDMFCPermitTot&lt;&gt;0,MCFDMFCPermitTot,0),CellEntry())</f>
        <v>0</v>
      </c>
      <c r="E101" s="267"/>
      <c r="F101" s="247"/>
    </row>
    <row r="102" spans="1:6" x14ac:dyDescent="0.2">
      <c r="A102" t="s">
        <v>250</v>
      </c>
      <c r="B102" s="284" t="s">
        <v>110</v>
      </c>
      <c r="C102" s="477"/>
      <c r="D102" s="478">
        <f>IF(CellEntry()="",IF(MCFDMFCVehTot&lt;&gt;0,MCFDMFCVehTot,0),CellEntry())</f>
        <v>0</v>
      </c>
      <c r="E102" s="267"/>
      <c r="F102" s="247"/>
    </row>
    <row r="103" spans="1:6" x14ac:dyDescent="0.2">
      <c r="A103" t="s">
        <v>250</v>
      </c>
      <c r="B103" s="284" t="s">
        <v>133</v>
      </c>
      <c r="C103" s="477"/>
      <c r="D103" s="478">
        <f>IF(CellEntry()="",IF(MCFDMFCDeprTot&lt;&gt;0,MCFDMFCDeprTot,0),CellEntry())</f>
        <v>0</v>
      </c>
      <c r="E103" s="267"/>
      <c r="F103" s="247"/>
    </row>
    <row r="104" spans="1:6" x14ac:dyDescent="0.2">
      <c r="A104"/>
      <c r="B104" s="284" t="s">
        <v>156</v>
      </c>
      <c r="C104" s="477"/>
      <c r="D104" s="478">
        <f>IF(CellEntry()="",IF(MCFDMFCIntTot&lt;&gt;0,MCFDMFCIntTot,0),CellEntry())</f>
        <v>0</v>
      </c>
      <c r="E104" s="267"/>
      <c r="F104" s="247"/>
    </row>
    <row r="105" spans="1:6" x14ac:dyDescent="0.2">
      <c r="A105" t="s">
        <v>250</v>
      </c>
      <c r="B105" s="284" t="s">
        <v>123</v>
      </c>
      <c r="C105" s="477"/>
      <c r="D105" s="478">
        <f>IF(CellEntry()="",IF(MCFDMFCMiscTot&lt;&gt;0,MCFDMFCMiscTot,0),CellEntry())</f>
        <v>0</v>
      </c>
      <c r="E105" s="267"/>
      <c r="F105" s="247"/>
    </row>
    <row r="106" spans="1:6" x14ac:dyDescent="0.2">
      <c r="A106" t="s">
        <v>250</v>
      </c>
      <c r="B106" s="284" t="s">
        <v>126</v>
      </c>
      <c r="C106" s="477"/>
      <c r="D106" s="478">
        <f>IF(CellEntry()="",IF(MCFDMFCOthTot&lt;&gt;0,MCFDMFCOthTot,0),CellEntry())</f>
        <v>0</v>
      </c>
      <c r="E106" s="267"/>
      <c r="F106" s="247"/>
    </row>
    <row r="107" spans="1:6" x14ac:dyDescent="0.2">
      <c r="A107" t="s">
        <v>250</v>
      </c>
      <c r="B107" s="286" t="s">
        <v>129</v>
      </c>
      <c r="C107" s="488">
        <f>SUM(C99:C106)</f>
        <v>0</v>
      </c>
      <c r="D107" s="489">
        <f>SUM(D99:D106)</f>
        <v>0</v>
      </c>
      <c r="E107" s="566">
        <f ca="1">IF(HowSell="Direct to Processor","",OFFSET(C107,0,0,1,1))</f>
        <v>0</v>
      </c>
      <c r="F107" s="267">
        <f ca="1">IF(HowSell="Direct to Processor","",OFFSET(D107,0,0,1,1))</f>
        <v>0</v>
      </c>
    </row>
    <row r="108" spans="1:6" ht="6.95" customHeight="1" x14ac:dyDescent="0.2">
      <c r="A108" t="s">
        <v>250</v>
      </c>
      <c r="B108" s="286"/>
      <c r="C108" s="491"/>
      <c r="D108" s="492"/>
      <c r="E108" s="267"/>
      <c r="F108" s="247"/>
    </row>
    <row r="109" spans="1:6" x14ac:dyDescent="0.2">
      <c r="A109" t="s">
        <v>250</v>
      </c>
      <c r="B109" s="288" t="s">
        <v>134</v>
      </c>
      <c r="C109" s="491">
        <f>C96+C107</f>
        <v>0</v>
      </c>
      <c r="D109" s="492">
        <f>D96+D107</f>
        <v>0</v>
      </c>
      <c r="E109" s="267"/>
      <c r="F109" s="247"/>
    </row>
    <row r="110" spans="1:6" ht="6.95" customHeight="1" x14ac:dyDescent="0.2">
      <c r="A110" t="s">
        <v>250</v>
      </c>
      <c r="B110" s="78"/>
      <c r="C110" s="491"/>
      <c r="D110" s="492"/>
      <c r="E110" s="267"/>
      <c r="F110" s="247"/>
    </row>
    <row r="111" spans="1:6" ht="16.5" thickBot="1" x14ac:dyDescent="0.3">
      <c r="A111" t="s">
        <v>250</v>
      </c>
      <c r="B111" s="76" t="s">
        <v>244</v>
      </c>
      <c r="C111" s="493">
        <f>C83-C96-C107</f>
        <v>0</v>
      </c>
      <c r="D111" s="494">
        <f>D83-D96-D107</f>
        <v>0</v>
      </c>
      <c r="E111" s="279">
        <f ca="1">IF(HowSell="Direct to Processor","",OFFSET(C111,0,0,1,1))</f>
        <v>0</v>
      </c>
      <c r="F111" s="279">
        <f ca="1">IF(HowSell="Direct to Processor","",OFFSET(D111,0,0,1,1))</f>
        <v>0</v>
      </c>
    </row>
    <row r="112" spans="1:6" ht="6.95" customHeight="1" thickTop="1" x14ac:dyDescent="0.2">
      <c r="A112" t="s">
        <v>250</v>
      </c>
      <c r="B112" s="78"/>
      <c r="C112" s="491"/>
      <c r="D112" s="492"/>
      <c r="E112" s="279" t="str">
        <f>IF(HowSell="Direct to Processor","","Direct Marketing Net Income")</f>
        <v>Direct Marketing Net Income</v>
      </c>
      <c r="F112" s="280"/>
    </row>
    <row r="113" spans="1:6" x14ac:dyDescent="0.2">
      <c r="A113" t="s">
        <v>250</v>
      </c>
      <c r="B113" s="289" t="s">
        <v>136</v>
      </c>
      <c r="C113" s="483">
        <f>C81</f>
        <v>0</v>
      </c>
      <c r="D113" s="484">
        <f>D81</f>
        <v>0</v>
      </c>
      <c r="E113" s="267"/>
      <c r="F113" s="247"/>
    </row>
    <row r="114" spans="1:6" x14ac:dyDescent="0.2">
      <c r="A114" t="s">
        <v>250</v>
      </c>
      <c r="B114" s="289" t="s">
        <v>137</v>
      </c>
      <c r="C114" s="483">
        <f>C103</f>
        <v>0</v>
      </c>
      <c r="D114" s="484">
        <f>D103</f>
        <v>0</v>
      </c>
      <c r="E114" s="267"/>
      <c r="F114" s="247"/>
    </row>
    <row r="115" spans="1:6" x14ac:dyDescent="0.2">
      <c r="A115" t="s">
        <v>250</v>
      </c>
      <c r="B115" s="289" t="s">
        <v>138</v>
      </c>
      <c r="C115" s="477"/>
      <c r="D115" s="478">
        <f>IF(CellEntry()="",IF(MCFDMPrinTot&lt;&gt;0,MCFDMPrinTot,0),CellEntry())</f>
        <v>0</v>
      </c>
      <c r="E115" s="267"/>
      <c r="F115" s="247"/>
    </row>
    <row r="116" spans="1:6" x14ac:dyDescent="0.2">
      <c r="A116"/>
      <c r="B116" s="289" t="s">
        <v>262</v>
      </c>
      <c r="C116" s="477"/>
      <c r="D116" s="478">
        <f>IF(CellEntry()="",IF(MCFDMNewCredTot&lt;&gt;0,MCFDMNewCredTot,0),CellEntry())</f>
        <v>0</v>
      </c>
      <c r="E116" s="267"/>
      <c r="F116" s="247"/>
    </row>
    <row r="117" spans="1:6" x14ac:dyDescent="0.2">
      <c r="A117"/>
      <c r="B117" s="289" t="s">
        <v>263</v>
      </c>
      <c r="C117" s="477"/>
      <c r="D117" s="478">
        <f>IF(CellEntry()="",IF(MCFDMCapPurchTot&lt;&gt;0,MCFDMCapPurchTot,0),CellEntry())</f>
        <v>0</v>
      </c>
      <c r="E117" s="267"/>
      <c r="F117" s="247"/>
    </row>
    <row r="118" spans="1:6" x14ac:dyDescent="0.2">
      <c r="A118"/>
      <c r="B118" s="289" t="s">
        <v>139</v>
      </c>
      <c r="C118" s="477"/>
      <c r="D118" s="478">
        <f>IF(CellEntry()="",IF(MCFDMEquipSaleTot&lt;&gt;0,MCFDMEquipSaleTot,0),CellEntry())</f>
        <v>0</v>
      </c>
      <c r="E118" s="267"/>
      <c r="F118" s="247"/>
    </row>
    <row r="119" spans="1:6" x14ac:dyDescent="0.2">
      <c r="A119" t="s">
        <v>250</v>
      </c>
      <c r="B119" s="289" t="s">
        <v>326</v>
      </c>
      <c r="C119" s="477"/>
      <c r="D119" s="478">
        <f>IF(CellEntry()="",IF(MCFDMEquipBSValTot&lt;&gt;0,MCFDMEquipBSValTot,0),CellEntry())</f>
        <v>0</v>
      </c>
      <c r="E119" s="267"/>
      <c r="F119" s="247"/>
    </row>
    <row r="120" spans="1:6" ht="6.95" customHeight="1" x14ac:dyDescent="0.2">
      <c r="A120" t="s">
        <v>250</v>
      </c>
      <c r="B120" s="284"/>
      <c r="C120" s="477"/>
      <c r="D120" s="478"/>
      <c r="E120" s="267"/>
      <c r="F120" s="247"/>
    </row>
    <row r="121" spans="1:6" ht="16.5" thickBot="1" x14ac:dyDescent="0.3">
      <c r="A121" t="s">
        <v>250</v>
      </c>
      <c r="B121" s="290" t="s">
        <v>245</v>
      </c>
      <c r="C121" s="493">
        <f>C111-C113+C114-C115+C119+C116-C117</f>
        <v>0</v>
      </c>
      <c r="D121" s="493">
        <f>D111-D113+D114-D115+D118+D116-D117</f>
        <v>0</v>
      </c>
      <c r="E121" s="267"/>
      <c r="F121" s="247"/>
    </row>
    <row r="122" spans="1:6" ht="5.0999999999999996" customHeight="1" thickTop="1" x14ac:dyDescent="0.25">
      <c r="A122" t="s">
        <v>250</v>
      </c>
      <c r="B122" s="291"/>
      <c r="C122" s="292"/>
      <c r="D122" s="293"/>
      <c r="E122" s="269"/>
      <c r="F122" s="270"/>
    </row>
    <row r="123" spans="1:6" ht="5.0999999999999996" customHeight="1" x14ac:dyDescent="0.25">
      <c r="A123" s="68" t="s">
        <v>251</v>
      </c>
      <c r="B123" s="75"/>
      <c r="C123" s="74"/>
      <c r="D123" s="74"/>
      <c r="E123" s="265"/>
      <c r="F123" s="247"/>
    </row>
    <row r="124" spans="1:6" ht="5.0999999999999996" customHeight="1" x14ac:dyDescent="0.2">
      <c r="B124" s="13"/>
      <c r="E124" s="6"/>
    </row>
    <row r="125" spans="1:6" ht="5.0999999999999996" customHeight="1" x14ac:dyDescent="0.25">
      <c r="B125" s="25"/>
      <c r="C125" s="74"/>
      <c r="E125" s="6"/>
    </row>
    <row r="126" spans="1:6" x14ac:dyDescent="0.2">
      <c r="B126" s="684" t="str">
        <f>IF(ProjTime="Annual","Income Statement &amp; Annual Cash Flow","Income Statement &amp; Monthly Cash Flow Summary")</f>
        <v>Income Statement &amp; Monthly Cash Flow Summary</v>
      </c>
      <c r="C126" s="685"/>
      <c r="D126" s="686"/>
    </row>
    <row r="127" spans="1:6" ht="12.75" customHeight="1" x14ac:dyDescent="0.2">
      <c r="B127" s="687"/>
      <c r="C127" s="688"/>
      <c r="D127" s="689"/>
    </row>
    <row r="128" spans="1:6" ht="18.75" customHeight="1" x14ac:dyDescent="0.2">
      <c r="B128" s="687"/>
      <c r="C128" s="688"/>
      <c r="D128" s="689"/>
    </row>
    <row r="129" spans="2:12" ht="18.75" hidden="1" customHeight="1" x14ac:dyDescent="0.3">
      <c r="B129" s="294"/>
      <c r="C129" s="295" t="s">
        <v>102</v>
      </c>
      <c r="D129" s="296" t="s">
        <v>103</v>
      </c>
    </row>
    <row r="130" spans="2:12" ht="13.7" hidden="1" customHeight="1" x14ac:dyDescent="0.2">
      <c r="B130" s="297" t="s">
        <v>101</v>
      </c>
      <c r="C130" s="62">
        <v>2014</v>
      </c>
      <c r="D130" s="298">
        <v>2015</v>
      </c>
      <c r="G130" s="33"/>
    </row>
    <row r="131" spans="2:12" ht="6.95" customHeight="1" x14ac:dyDescent="0.2">
      <c r="B131" s="299"/>
      <c r="C131" s="257"/>
      <c r="D131" s="77"/>
    </row>
    <row r="132" spans="2:12" ht="14.25" x14ac:dyDescent="0.2">
      <c r="B132" s="690" t="str">
        <f>$B$16</f>
        <v/>
      </c>
      <c r="C132" s="691"/>
      <c r="D132" s="692"/>
    </row>
    <row r="133" spans="2:12" ht="15" x14ac:dyDescent="0.2">
      <c r="B133" s="681" t="s">
        <v>264</v>
      </c>
      <c r="C133" s="682"/>
      <c r="D133" s="683"/>
      <c r="F133" s="7"/>
      <c r="G133" s="7"/>
      <c r="H133" s="7"/>
      <c r="I133" s="7"/>
      <c r="J133" s="7"/>
      <c r="K133" s="7"/>
      <c r="L133" s="7"/>
    </row>
    <row r="134" spans="2:12" x14ac:dyDescent="0.2">
      <c r="B134" s="78" t="s">
        <v>265</v>
      </c>
      <c r="C134" s="79">
        <f>Year1</f>
        <v>2015</v>
      </c>
      <c r="D134" s="80" t="str">
        <f>Year2</f>
        <v>2016 Projected</v>
      </c>
      <c r="E134" s="2"/>
    </row>
    <row r="135" spans="2:12" x14ac:dyDescent="0.2">
      <c r="B135" s="314" t="s">
        <v>31</v>
      </c>
      <c r="C135" s="471"/>
      <c r="D135" s="472">
        <f>IF(CellEntry()="",IF(MCFPWagesTot&lt;&gt;0,MCFPWagesTot,0),CellEntry())</f>
        <v>0</v>
      </c>
    </row>
    <row r="136" spans="2:12" x14ac:dyDescent="0.2">
      <c r="B136" s="315" t="s">
        <v>32</v>
      </c>
      <c r="C136" s="473"/>
      <c r="D136" s="474">
        <f>IF(CellEntry()="",IF(MCFPIntIncTot&lt;&gt;0,MCFPIntIncTot,0),CellEntry())</f>
        <v>0</v>
      </c>
    </row>
    <row r="137" spans="2:12" x14ac:dyDescent="0.2">
      <c r="B137" s="316" t="s">
        <v>258</v>
      </c>
      <c r="C137" s="473"/>
      <c r="D137" s="474">
        <f>IF(CellEntry()="",IF(MCFPInvestTot&lt;&gt;0,MCFPInvestTot,0),CellEntry())</f>
        <v>0</v>
      </c>
    </row>
    <row r="138" spans="2:12" x14ac:dyDescent="0.2">
      <c r="B138" s="314" t="s">
        <v>1</v>
      </c>
      <c r="C138" s="473"/>
      <c r="D138" s="474">
        <f>IF(CellEntry()="",IF(MCFPOthIncTot&lt;&gt;0,MCFPOthIncTot,0),CellEntry())</f>
        <v>0</v>
      </c>
    </row>
    <row r="139" spans="2:12" x14ac:dyDescent="0.2">
      <c r="B139" s="288" t="s">
        <v>271</v>
      </c>
      <c r="C139" s="475">
        <f>SUM(C135:C138)</f>
        <v>0</v>
      </c>
      <c r="D139" s="476">
        <f>SUM(D135:D138)</f>
        <v>0</v>
      </c>
    </row>
    <row r="140" spans="2:12" ht="6.95" customHeight="1" x14ac:dyDescent="0.2">
      <c r="B140" s="303"/>
      <c r="C140" s="477"/>
      <c r="D140" s="478"/>
    </row>
    <row r="141" spans="2:12" x14ac:dyDescent="0.2">
      <c r="B141" s="78" t="s">
        <v>266</v>
      </c>
      <c r="C141" s="477"/>
      <c r="D141" s="478"/>
      <c r="E141" s="67"/>
    </row>
    <row r="142" spans="2:12" x14ac:dyDescent="0.2">
      <c r="B142" s="310" t="s">
        <v>273</v>
      </c>
      <c r="C142" s="471"/>
      <c r="D142" s="472">
        <f>IF(CellEntry()="",IF(MCFPFoodTot&lt;&gt;0,MCFPFoodTot,0),CellEntry())</f>
        <v>0</v>
      </c>
    </row>
    <row r="143" spans="2:12" x14ac:dyDescent="0.2">
      <c r="B143" s="310" t="s">
        <v>274</v>
      </c>
      <c r="C143" s="473"/>
      <c r="D143" s="474">
        <f>IF(CellEntry()="",IF(MCFPMedicalTot&lt;&gt;0,MCFPMedicalTot,0),CellEntry())</f>
        <v>0</v>
      </c>
      <c r="E143" s="2"/>
    </row>
    <row r="144" spans="2:12" x14ac:dyDescent="0.2">
      <c r="B144" s="310" t="s">
        <v>275</v>
      </c>
      <c r="C144" s="473"/>
      <c r="D144" s="474">
        <f>IF(CellEntry()="",IF(MCFPInsTot&lt;&gt;0,MCFPInsTot,0),CellEntry())</f>
        <v>0</v>
      </c>
      <c r="E144" s="2"/>
    </row>
    <row r="145" spans="2:5" x14ac:dyDescent="0.2">
      <c r="B145" s="310" t="s">
        <v>270</v>
      </c>
      <c r="C145" s="473"/>
      <c r="D145" s="474">
        <f>IF(CellEntry()="",IF(MCFPLifeInsTot&lt;&gt;0,MCFPLifeInsTot,0),CellEntry())</f>
        <v>0</v>
      </c>
    </row>
    <row r="146" spans="2:5" x14ac:dyDescent="0.2">
      <c r="B146" s="310" t="s">
        <v>284</v>
      </c>
      <c r="C146" s="473"/>
      <c r="D146" s="474">
        <f>IF(CellEntry()="",IF(MCFPDisInsTot&lt;&gt;0,MCFPDisInsTot,0),CellEntry())</f>
        <v>0</v>
      </c>
      <c r="E146" s="2"/>
    </row>
    <row r="147" spans="2:5" x14ac:dyDescent="0.2">
      <c r="B147" s="310" t="s">
        <v>269</v>
      </c>
      <c r="C147" s="473"/>
      <c r="D147" s="474">
        <f>IF(CellEntry()="",IF(MCFPGiftsTot&lt;&gt;0,MCFPGiftsTot,0),CellEntry())</f>
        <v>0</v>
      </c>
      <c r="E147" s="2"/>
    </row>
    <row r="148" spans="2:5" x14ac:dyDescent="0.2">
      <c r="B148" s="310" t="s">
        <v>276</v>
      </c>
      <c r="C148" s="473"/>
      <c r="D148" s="474">
        <f>IF(CellEntry()="",IF(MCFPSupTot&lt;&gt;0,MCFPSupTot,0),CellEntry())</f>
        <v>0</v>
      </c>
      <c r="E148" s="2"/>
    </row>
    <row r="149" spans="2:5" x14ac:dyDescent="0.2">
      <c r="B149" s="310" t="s">
        <v>277</v>
      </c>
      <c r="C149" s="473"/>
      <c r="D149" s="474">
        <f>IF(CellEntry()="",IF(MCFPClothingTot&lt;&gt;0,MCFPClothingTot,0),CellEntry())</f>
        <v>0</v>
      </c>
      <c r="E149" s="2"/>
    </row>
    <row r="150" spans="2:5" x14ac:dyDescent="0.2">
      <c r="B150" s="310" t="s">
        <v>278</v>
      </c>
      <c r="C150" s="473"/>
      <c r="D150" s="474">
        <f>IF(CellEntry()="",IF(MCFPPersCareTot&lt;&gt;0,MCFPPersCareTot,0),CellEntry())</f>
        <v>0</v>
      </c>
      <c r="E150" s="2"/>
    </row>
    <row r="151" spans="2:5" x14ac:dyDescent="0.2">
      <c r="B151" s="310" t="s">
        <v>279</v>
      </c>
      <c r="C151" s="473"/>
      <c r="D151" s="474">
        <f>IF(CellEntry()="",IF(MCFPChildCareTot&lt;&gt;0,MCFPChildCareTot,0),CellEntry())</f>
        <v>0</v>
      </c>
      <c r="E151" s="2"/>
    </row>
    <row r="152" spans="2:5" x14ac:dyDescent="0.2">
      <c r="B152" s="307" t="s">
        <v>15</v>
      </c>
      <c r="C152" s="473"/>
      <c r="D152" s="474">
        <f>IF(CellEntry()="",IF(MCFPChildSupTot&lt;&gt;0,MCFPChildSupTot,0),CellEntry())</f>
        <v>0</v>
      </c>
      <c r="E152" s="2"/>
    </row>
    <row r="153" spans="2:5" x14ac:dyDescent="0.2">
      <c r="B153" s="310" t="s">
        <v>267</v>
      </c>
      <c r="C153" s="473"/>
      <c r="D153" s="474">
        <f>IF(CellEntry()="",IF(MCFPEducationTot&lt;&gt;0,MCFPEducationTot,0),CellEntry())</f>
        <v>0</v>
      </c>
      <c r="E153" s="2"/>
    </row>
    <row r="154" spans="2:5" x14ac:dyDescent="0.2">
      <c r="B154" s="310" t="s">
        <v>280</v>
      </c>
      <c r="C154" s="473"/>
      <c r="D154" s="474">
        <f>IF(CellEntry()="",IF(MCFPRecTot&lt;&gt;0,MCFPRecTot,0),CellEntry())</f>
        <v>0</v>
      </c>
      <c r="E154" s="2"/>
    </row>
    <row r="155" spans="2:5" x14ac:dyDescent="0.2">
      <c r="B155" s="310" t="s">
        <v>95</v>
      </c>
      <c r="C155" s="473"/>
      <c r="D155" s="474">
        <f>IF(CellEntry()="",IF(MCFPUtilTot&lt;&gt;0,MCFPUtilTot,0),CellEntry())</f>
        <v>0</v>
      </c>
      <c r="E155" s="2"/>
    </row>
    <row r="156" spans="2:5" x14ac:dyDescent="0.2">
      <c r="B156" s="310" t="s">
        <v>281</v>
      </c>
      <c r="C156" s="473"/>
      <c r="D156" s="474">
        <f>IF(CellEntry()="",IF(MCFPVehTot&lt;&gt;0,MCFPVehTot,0),CellEntry())</f>
        <v>0</v>
      </c>
      <c r="E156" s="2"/>
    </row>
    <row r="157" spans="2:5" x14ac:dyDescent="0.2">
      <c r="B157" s="317" t="s">
        <v>99</v>
      </c>
      <c r="C157" s="473"/>
      <c r="D157" s="474">
        <f>IF(CellEntry()="",IF(MCFPLoanPayTot&lt;&gt;0,MCFPLoanPayTot,0),CellEntry())</f>
        <v>0</v>
      </c>
      <c r="E157" s="2"/>
    </row>
    <row r="158" spans="2:5" x14ac:dyDescent="0.2">
      <c r="B158" s="317" t="s">
        <v>98</v>
      </c>
      <c r="C158" s="473"/>
      <c r="D158" s="474">
        <f>IF(CellEntry()="",IF(MCFPMortTot&lt;&gt;0,MCFPMortTot,0),CellEntry())</f>
        <v>0</v>
      </c>
      <c r="E158" s="2"/>
    </row>
    <row r="159" spans="2:5" x14ac:dyDescent="0.2">
      <c r="B159" s="310" t="s">
        <v>268</v>
      </c>
      <c r="C159" s="473"/>
      <c r="D159" s="474">
        <f>IF(CellEntry()="",IF(MCFPPropInsTot&lt;&gt;0,MCFPPropInsTot,0),CellEntry())</f>
        <v>0</v>
      </c>
      <c r="E159" s="2"/>
    </row>
    <row r="160" spans="2:5" x14ac:dyDescent="0.2">
      <c r="B160" s="310" t="s">
        <v>282</v>
      </c>
      <c r="C160" s="473"/>
      <c r="D160" s="474">
        <f>IF(CellEntry()="",IF(MCFPRETaxesTot&lt;&gt;0,MCFPRETaxesTot,0),CellEntry())</f>
        <v>0</v>
      </c>
      <c r="E160" s="2"/>
    </row>
    <row r="161" spans="2:5" x14ac:dyDescent="0.2">
      <c r="B161" s="310" t="s">
        <v>283</v>
      </c>
      <c r="C161" s="473"/>
      <c r="D161" s="474">
        <f>IF(CellEntry()="",IF(MCFPIncTaxTot&lt;&gt;0,MCFPIncTaxTot,0),CellEntry())</f>
        <v>0</v>
      </c>
      <c r="E161" s="2"/>
    </row>
    <row r="162" spans="2:5" x14ac:dyDescent="0.2">
      <c r="B162" s="426" t="s">
        <v>335</v>
      </c>
      <c r="C162" s="473"/>
      <c r="D162" s="474">
        <f>IF(CellEntry()="",IF(MCFPIncPersREETot&lt;&gt;0,MCFPIncPersREETot,0),CellEntry())</f>
        <v>0</v>
      </c>
      <c r="E162" s="2"/>
    </row>
    <row r="163" spans="2:5" x14ac:dyDescent="0.2">
      <c r="B163" s="426" t="s">
        <v>336</v>
      </c>
      <c r="C163" s="473"/>
      <c r="D163" s="474">
        <f>IF(CellEntry()="",IF(MCFPIncPersLoansTot&lt;&gt;0,MCFPIncPersLoansTot,0),CellEntry())</f>
        <v>0</v>
      </c>
      <c r="E163" s="2"/>
    </row>
    <row r="164" spans="2:5" x14ac:dyDescent="0.2">
      <c r="B164" s="307" t="s">
        <v>16</v>
      </c>
      <c r="C164" s="473"/>
      <c r="D164" s="474">
        <f>IF(CellEntry()="",IF(MCFPOthPurchTot&lt;&gt;0,MCFPOthPurchTot,0),CellEntry())</f>
        <v>0</v>
      </c>
      <c r="E164" s="60"/>
    </row>
    <row r="165" spans="2:5" ht="15.75" x14ac:dyDescent="0.25">
      <c r="B165" s="307" t="s">
        <v>33</v>
      </c>
      <c r="C165" s="473"/>
      <c r="D165" s="474">
        <f>IF(CellEntry()="",IF(MCFPOthPayTot&lt;&gt;0,MCFPOthPayTot,0),CellEntry())</f>
        <v>0</v>
      </c>
      <c r="E165" s="11"/>
    </row>
    <row r="166" spans="2:5" x14ac:dyDescent="0.2">
      <c r="B166" s="288" t="s">
        <v>272</v>
      </c>
      <c r="C166" s="475">
        <f>SUM(C142:C165)</f>
        <v>0</v>
      </c>
      <c r="D166" s="476">
        <f>SUM(D142:D165)</f>
        <v>0</v>
      </c>
    </row>
    <row r="167" spans="2:5" ht="6.95" customHeight="1" x14ac:dyDescent="0.2">
      <c r="B167" s="303"/>
      <c r="C167" s="73"/>
      <c r="D167" s="77"/>
    </row>
    <row r="168" spans="2:5" ht="12.95" customHeight="1" x14ac:dyDescent="0.2">
      <c r="B168" s="303"/>
      <c r="C168" s="79">
        <f>Year1</f>
        <v>2015</v>
      </c>
      <c r="D168" s="80" t="str">
        <f>Year2</f>
        <v>2016 Projected</v>
      </c>
    </row>
    <row r="169" spans="2:5" ht="16.5" thickBot="1" x14ac:dyDescent="0.3">
      <c r="B169" s="76" t="s">
        <v>97</v>
      </c>
      <c r="C169" s="495">
        <f>C67+IF(HowSell="Direct to Processor",0,'P&amp;L-Annual Cash Flow'!C121)+IF(ProjPersonal="Just Business Income and Expenses",0,'P&amp;L-Annual Cash Flow'!C139-'P&amp;L-Annual Cash Flow'!C166)</f>
        <v>0</v>
      </c>
      <c r="D169" s="496">
        <f>D67+IF(HowSell="Direct to Processor",0,'P&amp;L-Annual Cash Flow'!D121)+IF(ProjPersonal="Just Business Income and Expenses",0,'P&amp;L-Annual Cash Flow'!D139-'P&amp;L-Annual Cash Flow'!D166)</f>
        <v>0</v>
      </c>
    </row>
    <row r="170" spans="2:5" ht="5.0999999999999996" customHeight="1" thickTop="1" x14ac:dyDescent="0.2">
      <c r="B170" s="318"/>
      <c r="C170" s="319"/>
      <c r="D170" s="320"/>
    </row>
  </sheetData>
  <sortState ref="B33:E48">
    <sortCondition descending="1" ref="D33:D48"/>
    <sortCondition ref="C33:C48"/>
  </sortState>
  <mergeCells count="13">
    <mergeCell ref="D1:D6"/>
    <mergeCell ref="C1:C6"/>
    <mergeCell ref="B1:B6"/>
    <mergeCell ref="B10:D12"/>
    <mergeCell ref="B17:D17"/>
    <mergeCell ref="B16:D16"/>
    <mergeCell ref="B9:D9"/>
    <mergeCell ref="B77:D77"/>
    <mergeCell ref="B133:D133"/>
    <mergeCell ref="B70:D72"/>
    <mergeCell ref="B126:D128"/>
    <mergeCell ref="B76:D76"/>
    <mergeCell ref="B132:D132"/>
  </mergeCells>
  <phoneticPr fontId="0" type="noConversion"/>
  <conditionalFormatting sqref="B133:D161 B164:D166 C162:D163">
    <cfRule type="expression" dxfId="17" priority="3">
      <formula>ProjPersonal="Just Business Income and Expenses"</formula>
    </cfRule>
  </conditionalFormatting>
  <conditionalFormatting sqref="D19:D24 D28:D37 D41:D50 D79:D82 D86:D95 D99:D106 D115:D119 D59:D65 D135:D138 D142:D165">
    <cfRule type="expression" dxfId="16" priority="2">
      <formula>ProjTime="Monthly"</formula>
    </cfRule>
  </conditionalFormatting>
  <conditionalFormatting sqref="B162:B163">
    <cfRule type="expression" dxfId="0" priority="1">
      <formula>ProjPersonal="Just Business Income and Expenses"</formula>
    </cfRule>
  </conditionalFormatting>
  <dataValidations count="85">
    <dataValidation type="custom" errorStyle="information" allowBlank="1" error="=IF(CellEntry()=&quot;&quot;,IF(MCFDMEquipBSValTot&lt;&gt;0,MCFDMEquipBSValTot,0),CellEntry())" sqref="D119">
      <formula1>(1=1)</formula1>
    </dataValidation>
    <dataValidation type="custom" errorStyle="information" allowBlank="1" error="=IF(CellEntry()=&quot;&quot;,IF(MCFPSupTot&lt;&gt;0,MCFPSupTot,0),CellEntry())" sqref="D148">
      <formula1>(1=1)</formula1>
    </dataValidation>
    <dataValidation type="custom" errorStyle="information" allowBlank="1" error="=IF(CellEntry()=&quot;&quot;,IF(MCFPOthIncTot&lt;&gt;0,MCFPOthIncTot,0),CellEntry())" sqref="D138">
      <formula1>(1=1)</formula1>
    </dataValidation>
    <dataValidation type="custom" errorStyle="information" allowBlank="1" error="=IF(CellEntry()=&quot;&quot;,IF(MCFDMNewCredTot&lt;&gt;0,MCFDMNewCredTot,0),CellEntry())" sqref="D116">
      <formula1>(1=1)</formula1>
    </dataValidation>
    <dataValidation type="custom" errorStyle="information" allowBlank="1" error="=IF(CellEntry()=&quot;&quot;,IF(MCFVCCrewTot&lt;&gt;0,MCFVCCrewTot,0),CellEntry())" sqref="D28">
      <formula1>(1=1)</formula1>
    </dataValidation>
    <dataValidation type="custom" errorStyle="information" allowBlank="1" error="=IF(CellEntry()=&quot;&quot;,IF(MCFFCPermitTot&lt;&gt;0,MCFFCPermitTot,0),CellEntry())" sqref="D42">
      <formula1>(1=1)</formula1>
    </dataValidation>
    <dataValidation type="custom" errorStyle="information" allowBlank="1" error="=IF(CellEntry()=&quot;&quot;,IF(MCFSalesTot&lt;&gt;0,MCFSalesTot,0),CellEntry())" sqref="D19">
      <formula1>(1=1)</formula1>
    </dataValidation>
    <dataValidation type="custom" errorStyle="information" allowBlank="1" error="=IF(CellEntry()=&quot;&quot;,IF(MCFPInsTot&lt;&gt;0,MCFPInsTot,0),CellEntry())" sqref="D144">
      <formula1>(1=1)</formula1>
    </dataValidation>
    <dataValidation type="custom" errorStyle="information" allowBlank="1" error="=IF(CellEntry()=&quot;&quot;,IF(MCFPClothingTot&lt;&gt;0,MCFPClothingTot,0),CellEntry())" sqref="D149">
      <formula1>(1=1)</formula1>
    </dataValidation>
    <dataValidation type="custom" errorStyle="information" allowBlank="1" error="=IF(CellEntry()=&quot;&quot;,IF(MCFFCInterestTot&lt;&gt;0,MCFFCInterestTot,0),CellEntry())" sqref="D43">
      <formula1>(1=1)</formula1>
    </dataValidation>
    <dataValidation type="custom" errorStyle="information" allowBlank="1" error="=IF(CellEntry()=&quot;&quot;,IF(MCFVCRepairsTot&lt;&gt;0,MCFVCRepairsTot,0),CellEntry())" sqref="D33">
      <formula1>(1=1)</formula1>
    </dataValidation>
    <dataValidation type="custom" errorStyle="information" allowBlank="1" error="=IF(CellEntry()=&quot;&quot;,IF(MCFDMVCMiscTot&lt;&gt;0,MCFDMVCMiscTot,0),CellEntry())" sqref="D94">
      <formula1>(1=1)</formula1>
    </dataValidation>
    <dataValidation type="custom" errorStyle="information" allowBlank="1" error="=IF(CellEntry()=&quot;&quot;,IF(MCFFCAmortTot&lt;&gt;0,MCFFCAmortTot,0),CellEntry())" sqref="D45">
      <formula1>(1=1)</formula1>
    </dataValidation>
    <dataValidation type="custom" errorStyle="information" allowBlank="1" error="=IF(CellEntry()=&quot;&quot;,IF(MCFDMOthTot&lt;&gt;0,MCFDMOthTot,0),CellEntry())" sqref="D82">
      <formula1>(1=1)</formula1>
    </dataValidation>
    <dataValidation type="custom" errorStyle="information" allowBlank="1" error="=IF(CellEntry()=&quot;&quot;,IF(MCFPMortTot&lt;&gt;0,MCFPMortTot,0),CellEntry())" sqref="D158">
      <formula1>(1=1)</formula1>
    </dataValidation>
    <dataValidation type="custom" errorStyle="information" allowBlank="1" error="=IF(CellEntry()=&quot;&quot;,IF(MCFQuotaSaleTot&lt;&gt;0,MCFQuotaSaleTot,0),CellEntry())" sqref="D64">
      <formula1>(1=1)</formula1>
    </dataValidation>
    <dataValidation type="custom" errorStyle="information" allowBlank="1" error="=IF(CellEntry()=&quot;&quot;,IF(MCFDMPrinTot&lt;&gt;0,MCFDMPrinTot,0),CellEntry())" sqref="D115">
      <formula1>(1=1)</formula1>
    </dataValidation>
    <dataValidation type="custom" errorStyle="information" allowBlank="1" error="=IF(CellEntry()=&quot;&quot;,IF(MCFPVehTot&lt;&gt;0,MCFPVehTot,0),CellEntry())" sqref="D156">
      <formula1>(1=1)</formula1>
    </dataValidation>
    <dataValidation type="custom" errorStyle="information" allowBlank="1" error="=IF(CellEntry()=&quot;&quot;,IF(MCFCapPurchTot&lt;&gt;0,MCFCapPurchTot,0),CellEntry())" sqref="D61">
      <formula1>(1=1)</formula1>
    </dataValidation>
    <dataValidation type="custom" errorStyle="information" allowBlank="1" error="=IF(CellEntry()=&quot;&quot;,IF(MCFDMVCUtilTot&lt;&gt;0,MCFDMVCUtilTot,0),CellEntry())" sqref="D91">
      <formula1>(1=1)</formula1>
    </dataValidation>
    <dataValidation type="custom" errorStyle="information" allowBlank="1" error="=IF(CellEntry()=&quot;&quot;,IF(MCFDMVCSuppliesTot&lt;&gt;0,MCFDMVCSuppliesTot,0),CellEntry())" sqref="D89">
      <formula1>(1=1)</formula1>
    </dataValidation>
    <dataValidation type="custom" errorStyle="information" allowBlank="1" error="=IF(CellEntry()=&quot;&quot;,IF(MCFVesBSValTot&lt;&gt;0,MCFVesBSValTot,0),CellEntry())" sqref="D63">
      <formula1>(1=1)</formula1>
    </dataValidation>
    <dataValidation type="custom" errorStyle="information" allowBlank="1" error="=IF(CellEntry()=&quot;&quot;,IF(MCFDMFCDeprTot&lt;&gt;0,MCFDMFCDeprTot,0),CellEntry())" sqref="D103">
      <formula1>(1=1)</formula1>
    </dataValidation>
    <dataValidation type="custom" errorStyle="information" allowBlank="1" error="=IF(CellEntry()=&quot;&quot;,IF(MCFPGiftsTot&lt;&gt;0,MCFPGiftsTot,0),CellEntry())" sqref="D147">
      <formula1>(1=1)</formula1>
    </dataValidation>
    <dataValidation type="custom" errorStyle="information" allowBlank="1" error="=IF(CellEntry()=&quot;&quot;,IF(MCFVesSalesTot&lt;&gt;0,MCFVesSalesTot,0),CellEntry())" sqref="D62">
      <formula1>(1=1)</formula1>
    </dataValidation>
    <dataValidation type="custom" errorStyle="information" allowBlank="1" error="=IF(CellEntry()=&quot;&quot;,IF(MCFDMFCPermitTot&lt;&gt;0,MCFDMFCPermitTot,0),CellEntry())" sqref="D101">
      <formula1>(1=1)</formula1>
    </dataValidation>
    <dataValidation type="custom" errorStyle="information" allowBlank="1" error="=IF(CellEntry()=&quot;&quot;,IF(MCFPIncTaxTot&lt;&gt;0,MCFPIncTaxTot,0),CellEntry())" sqref="D161">
      <formula1>(1=1)</formula1>
    </dataValidation>
    <dataValidation type="custom" errorStyle="information" allowBlank="1" error="=IF(CellEntry()=&quot;&quot;,IF(MCFPChildCareTot&lt;&gt;0,MCFPChildCareTot,0),CellEntry())" sqref="D151">
      <formula1>(1=1)</formula1>
    </dataValidation>
    <dataValidation type="custom" errorStyle="information" allowBlank="1" error="=IF(CellEntry()=&quot;&quot;,IF(MCFVCFuelTot&lt;&gt;0,MCFVCFuelTot,0),CellEntry())" sqref="D31">
      <formula1>(1=1)</formula1>
    </dataValidation>
    <dataValidation type="custom" errorStyle="information" allowBlank="1" error="=IF(CellEntry()=&quot;&quot;,IF(MCFFCVesInsTot&lt;&gt;0,MCFFCVesInsTot,0),CellEntry())" sqref="D46">
      <formula1>(1=1)</formula1>
    </dataValidation>
    <dataValidation type="custom" errorStyle="information" allowBlank="1" error="=IF(CellEntry()=&quot;&quot;,IF(MCFDMVCPurchFinTot&lt;&gt;0,MCFDMVCPurchFinTot,0),CellEntry())" sqref="D93">
      <formula1>(1=1)</formula1>
    </dataValidation>
    <dataValidation type="custom" errorStyle="information" allowBlank="1" error="=IF(CellEntry()=&quot;&quot;,IF(MCFFCOthTot&lt;&gt;0,MCFFCOthTot,0),CellEntry())" sqref="D50">
      <formula1>(1=1)</formula1>
    </dataValidation>
    <dataValidation type="custom" errorStyle="information" allowBlank="1" error="=IF(CellEntry()=&quot;&quot;,IF(MCFDMVCPackTot&lt;&gt;0,MCFDMVCPackTot,0),CellEntry())" sqref="D88">
      <formula1>(1=1)</formula1>
    </dataValidation>
    <dataValidation type="custom" errorStyle="information" allowBlank="1" error="=IF(CellEntry()=&quot;&quot;,IF(MCFVCBaitTot&lt;&gt;0,MCFVCBaitTot,0),CellEntry())" sqref="D34">
      <formula1>(1=1)</formula1>
    </dataValidation>
    <dataValidation type="custom" errorStyle="information" allowBlank="1" error="=IF(CellEntry()=&quot;&quot;,IF(MCFPMedicalTot&lt;&gt;0,MCFPMedicalTot,0),CellEntry())" sqref="D143">
      <formula1>(1=1)</formula1>
    </dataValidation>
    <dataValidation type="custom" errorStyle="information" allowBlank="1" error="=IF(CellEntry()=&quot;&quot;,IF(MCFFCPropTaxTot&lt;&gt;0,MCFFCPropTaxTot,0),CellEntry())" sqref="D48">
      <formula1>(1=1)</formula1>
    </dataValidation>
    <dataValidation type="custom" errorStyle="information" allowBlank="1" error="=IF(CellEntry()=&quot;&quot;,IF(MCFPPropInsTot&lt;&gt;0,MCFPPropInsTot,0),CellEntry())" sqref="D159">
      <formula1>(1=1)</formula1>
    </dataValidation>
    <dataValidation type="custom" errorStyle="information" allowBlank="1" error="=IF(CellEntry()=&quot;&quot;,IF(MCFPRecTot&lt;&gt;0,MCFPRecTot,0),CellEntry())" sqref="D154">
      <formula1>(1=1)</formula1>
    </dataValidation>
    <dataValidation type="custom" errorStyle="information" allowBlank="1" error="=IF(CellEntry()=&quot;&quot;,IF(MCFPUtilTot&lt;&gt;0,MCFPUtilTot,0),CellEntry())" sqref="D155">
      <formula1>(1=1)</formula1>
    </dataValidation>
    <dataValidation type="custom" errorStyle="information" allowBlank="1" error="=IF(CellEntry()=&quot;&quot;,IF(MCFVCMiscTot&lt;&gt;0,MCFVCMiscTot,0),CellEntry())" sqref="D35">
      <formula1>(1=1)</formula1>
    </dataValidation>
    <dataValidation type="custom" errorStyle="information" allowBlank="1" error="=IF(CellEntry()=&quot;&quot;,IF(MCFCrewEarnedTot&lt;&gt;0,MCFCrewEarnedTot,0),CellEntry())" sqref="D23">
      <formula1>(1=1)</formula1>
    </dataValidation>
    <dataValidation type="custom" errorStyle="information" allowBlank="1" error="=IF(CellEntry()=&quot;&quot;,IF(MCFPrinTot&lt;&gt;0,MCFPrinTot,0),CellEntry())" sqref="D59">
      <formula1>(1=1)</formula1>
    </dataValidation>
    <dataValidation type="custom" errorStyle="information" allowBlank="1" error="=IF(CellEntry()=&quot;&quot;,IF(MCFPPersCareTot&lt;&gt;0,MCFPPersCareTot,0),CellEntry())" sqref="D150">
      <formula1>(1=1)</formula1>
    </dataValidation>
    <dataValidation type="custom" errorStyle="information" allowBlank="1" error="=IF(CellEntry()=&quot;&quot;,IF(MCFVCProvisionsTot&lt;&gt;0,MCFVCProvisionsTot,0),CellEntry())" sqref="D30">
      <formula1>(1=1)</formula1>
    </dataValidation>
    <dataValidation type="custom" errorStyle="information" allowBlank="1" error="=IF(CellEntry()=&quot;&quot;,IF(MCFOthTot&lt;&gt;0,MCFOthTot,0),CellEntry())" sqref="D24">
      <formula1>(1=1)</formula1>
    </dataValidation>
    <dataValidation type="custom" errorStyle="information" allowBlank="1" error="=IF(CellEntry()=&quot;&quot;,IF(MCFPInvestTot&lt;&gt;0,MCFPInvestTot,0),CellEntry())" sqref="D137">
      <formula1>(1=1)</formula1>
    </dataValidation>
    <dataValidation type="custom" errorStyle="information" allowBlank="1" error="=IF(CellEntry()=&quot;&quot;,IF(MCFVesLeasTot&lt;&gt;0,MCFVesLeasTot,0),CellEntry())" sqref="D20">
      <formula1>(1=1)</formula1>
    </dataValidation>
    <dataValidation type="custom" errorStyle="information" allowBlank="1" error="=IF(CellEntry()=&quot;&quot;,IF(MCFPOthPurchTot&lt;&gt;0,MCFPOthPurchTot,0),CellEntry())" sqref="D164">
      <formula1>(1=1)</formula1>
    </dataValidation>
    <dataValidation type="custom" errorStyle="information" allowBlank="1" error="=IF(CellEntry()=&quot;&quot;,IF(MCFPLifeInsTot&lt;&gt;0,MCFPLifeInsTot,0),CellEntry())" sqref="D145">
      <formula1>(1=1)</formula1>
    </dataValidation>
    <dataValidation type="custom" errorStyle="information" allowBlank="1" error="=IF(CellEntry()=&quot;&quot;,IF(MCFPIntIncTot&lt;&gt;0,MCFPIntIncTot,0),CellEntry())" sqref="D136">
      <formula1>(1=1)</formula1>
    </dataValidation>
    <dataValidation type="custom" errorStyle="information" allowBlank="1" error="=IF(CellEntry()=&quot;&quot;,IF(MCFPChildSupTot&lt;&gt;0,MCFPChildSupTot,0),CellEntry())" sqref="D152">
      <formula1>(1=1)</formula1>
    </dataValidation>
    <dataValidation type="custom" errorStyle="information" allowBlank="1" error="=IF(CellEntry()=&quot;&quot;,IF(MCFVCGearTot&lt;&gt;0,MCFVCGearTot,0),CellEntry())" sqref="D32">
      <formula1>(1=1)</formula1>
    </dataValidation>
    <dataValidation type="custom" errorStyle="information" allowBlank="1" error="=IF(CellEntry()=&quot;&quot;,IF(MCFDMFCOthTot&lt;&gt;0,MCFDMFCOthTot,0),CellEntry())" sqref="D106">
      <formula1>(1=1)</formula1>
    </dataValidation>
    <dataValidation type="custom" errorStyle="information" allowBlank="1" error="=IF(CellEntry()=&quot;&quot;,IF(MCFFCPortTot&lt;&gt;0,MCFFCPortTot,0),CellEntry())" sqref="D41">
      <formula1>(1=1)</formula1>
    </dataValidation>
    <dataValidation type="custom" errorStyle="information" allowBlank="1" error="=IF(CellEntry()=&quot;&quot;,IF(MCFPOthPayTot&lt;&gt;0,MCFPOthPayTot,0),CellEntry())" sqref="D165">
      <formula1>(1=1)</formula1>
    </dataValidation>
    <dataValidation type="custom" errorStyle="information" allowBlank="1" error="=IF(CellEntry()=&quot;&quot;,IF(MCFVCTaxesTot&lt;&gt;0,MCFVCTaxesTot,0),CellEntry())" sqref="D36">
      <formula1>(1=1)</formula1>
    </dataValidation>
    <dataValidation type="custom" errorStyle="information" allowBlank="1" error="=IF(CellEntry()=&quot;&quot;,IF(MCFDMCapPurchTot&lt;&gt;0,MCFDMCapPurchTot,0),CellEntry())" sqref="D117">
      <formula1>(1=1)</formula1>
    </dataValidation>
    <dataValidation type="custom" errorStyle="information" allowBlank="1" error="=IF(CellEntry()=&quot;&quot;,IF(MCFDMVCColdTot&lt;&gt;0,MCFDMVCColdTot,0),CellEntry())" sqref="D92">
      <formula1>(1=1)</formula1>
    </dataValidation>
    <dataValidation type="custom" errorStyle="information" allowBlank="1" error="=IF(CellEntry()=&quot;&quot;,IF(MCFVCCrewInsTot&lt;&gt;0,MCFVCCrewInsTot,0),CellEntry())" sqref="D29">
      <formula1>(1=1)</formula1>
    </dataValidation>
    <dataValidation type="custom" errorStyle="information" allowBlank="1" error="=IF(CellEntry()=&quot;&quot;,IF(MCFPDisInsTot&lt;&gt;0,MCFPDisInsTot,0),CellEntry())" sqref="D146">
      <formula1>(1=1)</formula1>
    </dataValidation>
    <dataValidation type="custom" errorStyle="information" allowBlank="1" error="=IF(CellEntry()=&quot;&quot;,IF(MCFCapPurchTot&lt;&gt;0,MCFCapPurchTot,0),CellEntry())" sqref="D60">
      <formula1>(1=1)</formula1>
    </dataValidation>
    <dataValidation type="custom" errorStyle="information" allowBlank="1" error="=IF(CellEntry()=&quot;&quot;,IF(MCFDMFCRentTot&lt;&gt;0,MCFDMFCRentTot,0),CellEntry())" sqref="D99">
      <formula1>(1=1)</formula1>
    </dataValidation>
    <dataValidation type="custom" errorStyle="information" allowBlank="1" error="=IF(CellEntry()=&quot;&quot;,IF(MCFDMVCInsTot&lt;&gt;0,MCFDMVCInsTot,0),CellEntry())" sqref="D87">
      <formula1>(1=1)</formula1>
    </dataValidation>
    <dataValidation type="custom" errorStyle="information" allowBlank="1" error="=IF(CellEntry()=&quot;&quot;,IF(MCFQuotaBSValTot&lt;&gt;0,MCFQuotaBSValTot,0),CellEntry())" sqref="D65">
      <formula1>(1=1)</formula1>
    </dataValidation>
    <dataValidation type="custom" errorStyle="information" allowBlank="1" error="=IF(CellEntry()=&quot;&quot;,IF(MCFDMFCVehTot&lt;&gt;0,MCFDMFCVehTot,0),CellEntry())" sqref="D102">
      <formula1>(1=1)</formula1>
    </dataValidation>
    <dataValidation type="custom" errorStyle="information" allowBlank="1" error="=IF(CellEntry()=&quot;&quot;,IF(MCFDMVCLaborTot&lt;&gt;0,MCFDMVCLaborTot,0),CellEntry())" sqref="D86">
      <formula1>(1=1)</formula1>
    </dataValidation>
    <dataValidation type="custom" errorStyle="information" allowBlank="1" error="=IF(CellEntry()=&quot;&quot;,IF(MCFPFoodTot&lt;&gt;0,MCFPFoodTot,0),CellEntry())" sqref="D142">
      <formula1>(1=1)</formula1>
    </dataValidation>
    <dataValidation type="custom" errorStyle="information" allowBlank="1" error="=IF(CellEntry()=&quot;&quot;,IF(MCFFCProfTot&lt;&gt;0,MCFFCProfTot,0),CellEntry())" sqref="D47">
      <formula1>(1=1)</formula1>
    </dataValidation>
    <dataValidation type="custom" errorStyle="information" allowBlank="1" error="=IF(CellEntry()=&quot;&quot;,IF(MCFDMSalesTot&lt;&gt;0,MCFDMSalesTot,0),CellEntry())" sqref="D79">
      <formula1>(1=1)</formula1>
    </dataValidation>
    <dataValidation type="custom" errorStyle="information" allowBlank="1" error="=IF(CellEntry()=&quot;&quot;,IF(MCFDMEquipSaleTot&lt;&gt;0,MCFDMEquipSaleTot,0),CellEntry())" sqref="D118">
      <formula1>(1=1)</formula1>
    </dataValidation>
    <dataValidation type="custom" errorStyle="information" allowBlank="1" error="=IF(CellEntry()=&quot;&quot;,IF(MCFPLoanPayTot&lt;&gt;0,MCFPLoanPayTot,0),CellEntry())" sqref="D157">
      <formula1>(1=1)</formula1>
    </dataValidation>
    <dataValidation type="custom" errorStyle="information" allowBlank="1" error="=IF(CellEntry()=&quot;&quot;,IF(MCFDMVCOthTot&lt;&gt;0,MCFDMVCOthTot,0),CellEntry())" sqref="D95">
      <formula1>(1=1)</formula1>
    </dataValidation>
    <dataValidation type="custom" errorStyle="information" allowBlank="1" error="=IF(CellEntry()=&quot;&quot;,IF(MCFPWagesTot&lt;&gt;0,MCFPWagesTot,0),CellEntry())" sqref="D135">
      <formula1>(1=1)</formula1>
    </dataValidation>
    <dataValidation type="custom" errorStyle="information" allowBlank="1" error="=IF(CellEntry()=&quot;&quot;,IF(MCFDMEtcTot&lt;&gt;0,MCFDMEtcTot,0),CellEntry())" sqref="D80">
      <formula1>(1=1)</formula1>
    </dataValidation>
    <dataValidation type="custom" errorStyle="information" allowBlank="1" error="=IF(CellEntry()=&quot;&quot;,IF(MCFDMFCPromoTot&lt;&gt;0,MCFDMFCPromoTot,0),CellEntry())" sqref="D100">
      <formula1>(1=1)</formula1>
    </dataValidation>
    <dataValidation type="custom" errorStyle="information" allowBlank="1" error="=IF(CellEntry()=&quot;&quot;,IF(MCFPRETaxesTot&lt;&gt;0,MCFPRETaxesTot,0),CellEntry())" sqref="D160">
      <formula1>(1=1)</formula1>
    </dataValidation>
    <dataValidation type="custom" errorStyle="information" allowBlank="1" error="=IF(CellEntry()=&quot;&quot;,IF(MCFPEducationTot&lt;&gt;0,MCFPEducationTot,0),CellEntry())" sqref="D153">
      <formula1>(1=1)</formula1>
    </dataValidation>
    <dataValidation type="custom" errorStyle="information" allowBlank="1" error="=IF(CellEntry()=&quot;&quot;,IF(MCFFCDeprTot&lt;&gt;0,MCFFCDeprTot,0),CellEntry())" sqref="D44">
      <formula1>(1=1)</formula1>
    </dataValidation>
    <dataValidation type="custom" errorStyle="information" allowBlank="1" error="=IF(CellEntry()=&quot;&quot;,IF(MCFFCMiscTot&lt;&gt;0,MCFFCMiscTot,0),CellEntry())" sqref="D49">
      <formula1>(1=1)</formula1>
    </dataValidation>
    <dataValidation type="custom" errorStyle="information" allowBlank="1" error="=IF(CellEntry()=&quot;&quot;,IF(MCFVCOthTot&lt;&gt;0,MCFVCOthTot,0),CellEntry())" sqref="D37">
      <formula1>(1=1)</formula1>
    </dataValidation>
    <dataValidation type="custom" errorStyle="information" allowBlank="1" error="=IF(CellEntry()=&quot;&quot;,IF(MCFDMVCShippingTot&lt;&gt;0,MCFDMVCShippingTot,0),CellEntry())" sqref="D90">
      <formula1>(1=1)</formula1>
    </dataValidation>
    <dataValidation type="custom" errorStyle="information" allowBlank="1" error="=IF(CellEntry()=&quot;&quot;,IF(MCFDMFCMiscTot&lt;&gt;0,MCFDMFCMiscTot,0),CellEntry())" sqref="D105">
      <formula1>(1=1)</formula1>
    </dataValidation>
    <dataValidation type="custom" errorStyle="information" allowBlank="1" error="=IF(CellEntry()=&quot;&quot;,IF(MCFPIncPersREETot&lt;&gt;0,MCFPIncPersREETot,0),CellEntry())" sqref="D162">
      <formula1>(1=1)</formula1>
    </dataValidation>
    <dataValidation type="custom" errorStyle="information" allowBlank="1" error="=IF(CellEntry()=&quot;&quot;,IF(MCFPIncPersLoansTot&lt;&gt;0,MCFPIncPersLoansTot,0),CellEntry())" sqref="D163">
      <formula1>(1=1)</formula1>
    </dataValidation>
    <dataValidation type="custom" errorStyle="information" allowBlank="1" error="=IF(CellEntry()=&quot;&quot;,IF(MCFDMFCIntTot&lt;&gt;0,MCFDMFCIntTot,0),CellEntry())" sqref="D104">
      <formula1>(1=1)</formula1>
    </dataValidation>
  </dataValidations>
  <hyperlinks>
    <hyperlink ref="B9:D9" r:id="rId1" display="Go to online help video"/>
  </hyperlinks>
  <pageMargins left="0.75" right="0.75" top="0.79" bottom="0.9" header="0.5" footer="0.5"/>
  <pageSetup pageOrder="overThenDown" orientation="portrait" horizontalDpi="300" verticalDpi="300" r:id="rId2"/>
  <headerFooter alignWithMargins="0">
    <oddFooter>&amp;LFishBizPlan Annual Cash Flow Summary&amp;RFishBizPlan.org</oddFooter>
  </headerFooter>
  <rowBreaks count="2" manualBreakCount="2">
    <brk id="68" min="1" max="11" man="1"/>
    <brk id="124" min="1" max="3" man="1"/>
  </rowBreaks>
  <drawing r:id="rId3"/>
  <legacyDrawing r:id="rId4"/>
  <tableParts count="1">
    <tablePart r:id="rId5"/>
  </tableParts>
  <extLst>
    <ext xmlns:x14="http://schemas.microsoft.com/office/spreadsheetml/2009/9/main" uri="{78C0D931-6437-407d-A8EE-F0AAD7539E65}">
      <x14:conditionalFormattings>
        <x14:conditionalFormatting xmlns:xm="http://schemas.microsoft.com/office/excel/2006/main">
          <x14:cfRule type="expression" priority="5" id="{507B2C4C-E5BD-460A-A048-F084AE406EEC}">
            <xm:f>'Gen Info'!$K$19="Direct to Processor"</xm:f>
            <x14:dxf>
              <font>
                <color theme="0" tint="-0.499984740745262"/>
              </font>
              <fill>
                <patternFill>
                  <bgColor theme="0" tint="-0.34998626667073579"/>
                </patternFill>
              </fill>
            </x14:dxf>
          </x14:cfRule>
          <xm:sqref>B77:D121</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EBF24"/>
  </sheetPr>
  <dimension ref="A3:S154"/>
  <sheetViews>
    <sheetView showGridLines="0" topLeftCell="B1" zoomScaleNormal="100" zoomScaleSheetLayoutView="90" workbookViewId="0">
      <selection activeCell="E89" sqref="E89"/>
    </sheetView>
  </sheetViews>
  <sheetFormatPr defaultColWidth="10" defaultRowHeight="12.75" x14ac:dyDescent="0.2"/>
  <cols>
    <col min="1" max="1" width="38.85546875" style="3" hidden="1" customWidth="1"/>
    <col min="2" max="2" width="45.85546875" style="3" customWidth="1"/>
    <col min="3" max="3" width="2.28515625" style="3" customWidth="1"/>
    <col min="4" max="4" width="12.85546875" style="3" customWidth="1"/>
    <col min="5" max="6" width="11.28515625" style="336" customWidth="1"/>
    <col min="7" max="16" width="11.28515625" style="8" customWidth="1"/>
    <col min="17" max="17" width="12.85546875" style="3" customWidth="1"/>
    <col min="18" max="16384" width="10" style="3"/>
  </cols>
  <sheetData>
    <row r="3" spans="2:16" ht="12.75" customHeight="1" x14ac:dyDescent="0.2">
      <c r="B3" s="705" t="s">
        <v>230</v>
      </c>
      <c r="C3" s="705"/>
      <c r="D3" s="705"/>
      <c r="E3" s="705"/>
      <c r="F3" s="705"/>
    </row>
    <row r="4" spans="2:16" ht="12.75" customHeight="1" x14ac:dyDescent="0.2">
      <c r="B4" s="705"/>
      <c r="C4" s="705"/>
      <c r="D4" s="705"/>
      <c r="E4" s="705"/>
      <c r="F4" s="705"/>
    </row>
    <row r="5" spans="2:16" ht="15" customHeight="1" x14ac:dyDescent="0.2">
      <c r="B5" s="706" t="str">
        <f>IF(Name&gt;"",Name,IF(BusName&gt;"",BusName,""))</f>
        <v/>
      </c>
      <c r="C5" s="706"/>
      <c r="D5" s="706"/>
      <c r="E5" s="706"/>
      <c r="F5" s="706"/>
    </row>
    <row r="6" spans="2:16" ht="15" customHeight="1" thickBot="1" x14ac:dyDescent="0.25">
      <c r="B6" s="467" t="s">
        <v>255</v>
      </c>
      <c r="C6" s="467"/>
      <c r="D6" s="707">
        <f>Year+1</f>
        <v>2016</v>
      </c>
      <c r="E6" s="707"/>
      <c r="F6" s="707"/>
      <c r="G6" s="466"/>
      <c r="H6" s="468"/>
      <c r="I6" s="466"/>
      <c r="J6" s="466"/>
      <c r="K6" s="466"/>
      <c r="L6" s="466"/>
      <c r="M6" s="466"/>
      <c r="N6" s="466"/>
      <c r="O6" s="466"/>
      <c r="P6" s="466"/>
    </row>
    <row r="7" spans="2:16" ht="15.75" customHeight="1" x14ac:dyDescent="0.2">
      <c r="B7" s="406"/>
      <c r="D7" s="404" t="s">
        <v>30</v>
      </c>
      <c r="E7" s="497" t="s">
        <v>19</v>
      </c>
      <c r="F7" s="530" t="s">
        <v>20</v>
      </c>
      <c r="G7" s="531" t="s">
        <v>21</v>
      </c>
      <c r="H7" s="531" t="s">
        <v>22</v>
      </c>
      <c r="I7" s="531" t="s">
        <v>18</v>
      </c>
      <c r="J7" s="407" t="s">
        <v>23</v>
      </c>
      <c r="K7" s="536" t="s">
        <v>24</v>
      </c>
      <c r="L7" s="542" t="s">
        <v>25</v>
      </c>
      <c r="M7" s="542" t="s">
        <v>26</v>
      </c>
      <c r="N7" s="542" t="s">
        <v>27</v>
      </c>
      <c r="O7" s="542" t="s">
        <v>28</v>
      </c>
      <c r="P7" s="462" t="s">
        <v>29</v>
      </c>
    </row>
    <row r="8" spans="2:16" ht="3.6" customHeight="1" x14ac:dyDescent="0.2">
      <c r="B8" s="406"/>
      <c r="E8" s="498"/>
      <c r="F8" s="514"/>
      <c r="G8" s="532"/>
      <c r="H8" s="532"/>
      <c r="I8" s="532"/>
      <c r="J8" s="405"/>
      <c r="K8" s="537"/>
      <c r="L8" s="532"/>
      <c r="M8" s="532"/>
      <c r="N8" s="532"/>
      <c r="O8" s="532"/>
      <c r="P8" s="405"/>
    </row>
    <row r="9" spans="2:16" s="50" customFormat="1" ht="15" x14ac:dyDescent="0.2">
      <c r="B9" s="408" t="s">
        <v>141</v>
      </c>
      <c r="C9" s="403"/>
      <c r="D9" s="568" t="s">
        <v>332</v>
      </c>
      <c r="E9" s="499">
        <f>'Final Balance Sheet'!C8</f>
        <v>0</v>
      </c>
      <c r="F9" s="515"/>
      <c r="G9" s="515"/>
      <c r="H9" s="515"/>
      <c r="I9" s="515"/>
      <c r="J9" s="409"/>
      <c r="K9" s="538"/>
      <c r="L9" s="515"/>
      <c r="M9" s="515"/>
      <c r="N9" s="515"/>
      <c r="O9" s="515"/>
      <c r="P9" s="409"/>
    </row>
    <row r="10" spans="2:16" x14ac:dyDescent="0.2">
      <c r="B10" s="410" t="s">
        <v>142</v>
      </c>
      <c r="C10" s="5"/>
      <c r="D10" s="275"/>
      <c r="E10" s="500"/>
      <c r="F10" s="516"/>
      <c r="G10" s="533"/>
      <c r="H10" s="533"/>
      <c r="I10" s="533"/>
      <c r="J10" s="411"/>
      <c r="K10" s="539"/>
      <c r="L10" s="533"/>
      <c r="M10" s="533"/>
      <c r="N10" s="533"/>
      <c r="O10" s="533"/>
      <c r="P10" s="411"/>
    </row>
    <row r="11" spans="2:16" x14ac:dyDescent="0.2">
      <c r="B11" s="412" t="s">
        <v>149</v>
      </c>
      <c r="C11" s="66"/>
      <c r="D11" s="321">
        <f t="shared" ref="D11:D16" si="0">SUM(E11:P11)</f>
        <v>0</v>
      </c>
      <c r="E11" s="501"/>
      <c r="F11" s="517"/>
      <c r="G11" s="517"/>
      <c r="H11" s="517"/>
      <c r="I11" s="517"/>
      <c r="J11" s="413"/>
      <c r="K11" s="501"/>
      <c r="L11" s="517"/>
      <c r="M11" s="517"/>
      <c r="N11" s="517"/>
      <c r="O11" s="517"/>
      <c r="P11" s="413"/>
    </row>
    <row r="12" spans="2:16" x14ac:dyDescent="0.2">
      <c r="B12" s="412" t="s">
        <v>14</v>
      </c>
      <c r="C12" s="66"/>
      <c r="D12" s="322">
        <f t="shared" si="0"/>
        <v>0</v>
      </c>
      <c r="E12" s="502"/>
      <c r="F12" s="518"/>
      <c r="G12" s="518"/>
      <c r="H12" s="518"/>
      <c r="I12" s="518"/>
      <c r="J12" s="414"/>
      <c r="K12" s="502"/>
      <c r="L12" s="518"/>
      <c r="M12" s="518"/>
      <c r="N12" s="518"/>
      <c r="O12" s="518"/>
      <c r="P12" s="414"/>
    </row>
    <row r="13" spans="2:16" x14ac:dyDescent="0.2">
      <c r="B13" s="412" t="s">
        <v>2</v>
      </c>
      <c r="C13" s="66"/>
      <c r="D13" s="322">
        <f t="shared" si="0"/>
        <v>0</v>
      </c>
      <c r="E13" s="503">
        <f>E52-E53</f>
        <v>0</v>
      </c>
      <c r="F13" s="519">
        <f t="shared" ref="F13:P13" si="1">F52-F53</f>
        <v>0</v>
      </c>
      <c r="G13" s="519">
        <f t="shared" si="1"/>
        <v>0</v>
      </c>
      <c r="H13" s="519">
        <f t="shared" si="1"/>
        <v>0</v>
      </c>
      <c r="I13" s="519">
        <f t="shared" si="1"/>
        <v>0</v>
      </c>
      <c r="J13" s="470">
        <f t="shared" si="1"/>
        <v>0</v>
      </c>
      <c r="K13" s="503">
        <f t="shared" si="1"/>
        <v>0</v>
      </c>
      <c r="L13" s="519">
        <f t="shared" si="1"/>
        <v>0</v>
      </c>
      <c r="M13" s="519">
        <f t="shared" si="1"/>
        <v>0</v>
      </c>
      <c r="N13" s="519">
        <f t="shared" si="1"/>
        <v>0</v>
      </c>
      <c r="O13" s="519">
        <f t="shared" si="1"/>
        <v>0</v>
      </c>
      <c r="P13" s="470">
        <f t="shared" si="1"/>
        <v>0</v>
      </c>
    </row>
    <row r="14" spans="2:16" x14ac:dyDescent="0.2">
      <c r="B14" s="412" t="s">
        <v>88</v>
      </c>
      <c r="C14" s="66"/>
      <c r="D14" s="322">
        <f t="shared" si="0"/>
        <v>0</v>
      </c>
      <c r="E14" s="503">
        <f>E54-E55</f>
        <v>0</v>
      </c>
      <c r="F14" s="519">
        <f t="shared" ref="F14:P14" si="2">F54-F55</f>
        <v>0</v>
      </c>
      <c r="G14" s="519">
        <f t="shared" si="2"/>
        <v>0</v>
      </c>
      <c r="H14" s="519">
        <f t="shared" si="2"/>
        <v>0</v>
      </c>
      <c r="I14" s="519">
        <f t="shared" si="2"/>
        <v>0</v>
      </c>
      <c r="J14" s="470">
        <f t="shared" si="2"/>
        <v>0</v>
      </c>
      <c r="K14" s="503">
        <f t="shared" si="2"/>
        <v>0</v>
      </c>
      <c r="L14" s="519">
        <f t="shared" si="2"/>
        <v>0</v>
      </c>
      <c r="M14" s="519">
        <f t="shared" si="2"/>
        <v>0</v>
      </c>
      <c r="N14" s="519">
        <f t="shared" si="2"/>
        <v>0</v>
      </c>
      <c r="O14" s="519">
        <f t="shared" si="2"/>
        <v>0</v>
      </c>
      <c r="P14" s="470">
        <f t="shared" si="2"/>
        <v>0</v>
      </c>
    </row>
    <row r="15" spans="2:16" x14ac:dyDescent="0.2">
      <c r="B15" s="412" t="s">
        <v>87</v>
      </c>
      <c r="C15" s="66"/>
      <c r="D15" s="322">
        <f t="shared" si="0"/>
        <v>0</v>
      </c>
      <c r="E15" s="502"/>
      <c r="F15" s="518"/>
      <c r="G15" s="518"/>
      <c r="H15" s="518"/>
      <c r="I15" s="518"/>
      <c r="J15" s="414"/>
      <c r="K15" s="502"/>
      <c r="L15" s="518"/>
      <c r="M15" s="518"/>
      <c r="N15" s="518"/>
      <c r="O15" s="518"/>
      <c r="P15" s="414"/>
    </row>
    <row r="16" spans="2:16" x14ac:dyDescent="0.2">
      <c r="B16" s="415" t="s">
        <v>1</v>
      </c>
      <c r="C16" s="246"/>
      <c r="D16" s="322">
        <f t="shared" si="0"/>
        <v>0</v>
      </c>
      <c r="E16" s="502"/>
      <c r="F16" s="518"/>
      <c r="G16" s="518"/>
      <c r="H16" s="518"/>
      <c r="I16" s="518"/>
      <c r="J16" s="414"/>
      <c r="K16" s="502"/>
      <c r="L16" s="518"/>
      <c r="M16" s="518"/>
      <c r="N16" s="518"/>
      <c r="O16" s="518"/>
      <c r="P16" s="414"/>
    </row>
    <row r="17" spans="2:16" x14ac:dyDescent="0.2">
      <c r="B17" s="416" t="s">
        <v>235</v>
      </c>
      <c r="C17" s="260"/>
      <c r="D17" s="323">
        <f>SUM(D11:D16)</f>
        <v>0</v>
      </c>
      <c r="E17" s="504">
        <f t="shared" ref="E17:P17" si="3">SUM(E11:E16)</f>
        <v>0</v>
      </c>
      <c r="F17" s="520">
        <f t="shared" si="3"/>
        <v>0</v>
      </c>
      <c r="G17" s="520">
        <f t="shared" si="3"/>
        <v>0</v>
      </c>
      <c r="H17" s="520">
        <f t="shared" si="3"/>
        <v>0</v>
      </c>
      <c r="I17" s="520">
        <f t="shared" si="3"/>
        <v>0</v>
      </c>
      <c r="J17" s="417">
        <f t="shared" si="3"/>
        <v>0</v>
      </c>
      <c r="K17" s="504">
        <f t="shared" si="3"/>
        <v>0</v>
      </c>
      <c r="L17" s="520">
        <f t="shared" si="3"/>
        <v>0</v>
      </c>
      <c r="M17" s="520">
        <f t="shared" si="3"/>
        <v>0</v>
      </c>
      <c r="N17" s="520">
        <f t="shared" si="3"/>
        <v>0</v>
      </c>
      <c r="O17" s="520">
        <f t="shared" si="3"/>
        <v>0</v>
      </c>
      <c r="P17" s="417">
        <f t="shared" si="3"/>
        <v>0</v>
      </c>
    </row>
    <row r="18" spans="2:16" ht="2.25" customHeight="1" x14ac:dyDescent="0.2">
      <c r="B18" s="406"/>
      <c r="D18" s="324"/>
      <c r="E18" s="505"/>
      <c r="F18" s="521"/>
      <c r="G18" s="534"/>
      <c r="H18" s="534"/>
      <c r="I18" s="534"/>
      <c r="J18" s="418"/>
      <c r="K18" s="540"/>
      <c r="L18" s="534"/>
      <c r="M18" s="534"/>
      <c r="N18" s="534"/>
      <c r="O18" s="534"/>
      <c r="P18" s="418"/>
    </row>
    <row r="19" spans="2:16" x14ac:dyDescent="0.2">
      <c r="B19" s="410" t="s">
        <v>143</v>
      </c>
      <c r="C19" s="5"/>
      <c r="D19" s="324"/>
      <c r="E19" s="505"/>
      <c r="F19" s="521"/>
      <c r="G19" s="534"/>
      <c r="H19" s="534"/>
      <c r="I19" s="534"/>
      <c r="J19" s="418"/>
      <c r="K19" s="540"/>
      <c r="L19" s="534"/>
      <c r="M19" s="534"/>
      <c r="N19" s="534"/>
      <c r="O19" s="534"/>
      <c r="P19" s="418"/>
    </row>
    <row r="20" spans="2:16" x14ac:dyDescent="0.2">
      <c r="B20" s="419" t="s">
        <v>86</v>
      </c>
      <c r="C20" s="57"/>
      <c r="D20" s="321">
        <f t="shared" ref="D20:D30" si="4">SUM(E20:P20)</f>
        <v>0</v>
      </c>
      <c r="E20" s="501"/>
      <c r="F20" s="517"/>
      <c r="G20" s="517"/>
      <c r="H20" s="517"/>
      <c r="I20" s="517"/>
      <c r="J20" s="413"/>
      <c r="K20" s="501"/>
      <c r="L20" s="517"/>
      <c r="M20" s="517"/>
      <c r="N20" s="517"/>
      <c r="O20" s="517"/>
      <c r="P20" s="413"/>
    </row>
    <row r="21" spans="2:16" x14ac:dyDescent="0.2">
      <c r="B21" s="420" t="s">
        <v>12</v>
      </c>
      <c r="C21" s="53"/>
      <c r="D21" s="322">
        <f t="shared" si="4"/>
        <v>0</v>
      </c>
      <c r="E21" s="502"/>
      <c r="F21" s="518"/>
      <c r="G21" s="518"/>
      <c r="H21" s="518"/>
      <c r="I21" s="518"/>
      <c r="J21" s="414"/>
      <c r="K21" s="502"/>
      <c r="L21" s="518"/>
      <c r="M21" s="518"/>
      <c r="N21" s="518"/>
      <c r="O21" s="518"/>
      <c r="P21" s="414"/>
    </row>
    <row r="22" spans="2:16" s="6" customFormat="1" x14ac:dyDescent="0.2">
      <c r="B22" s="420" t="s">
        <v>0</v>
      </c>
      <c r="C22" s="53"/>
      <c r="D22" s="322">
        <f t="shared" si="4"/>
        <v>0</v>
      </c>
      <c r="E22" s="502"/>
      <c r="F22" s="518"/>
      <c r="G22" s="518"/>
      <c r="H22" s="518"/>
      <c r="I22" s="518"/>
      <c r="J22" s="414"/>
      <c r="K22" s="502"/>
      <c r="L22" s="518"/>
      <c r="M22" s="518"/>
      <c r="N22" s="518"/>
      <c r="O22" s="518"/>
      <c r="P22" s="414"/>
    </row>
    <row r="23" spans="2:16" x14ac:dyDescent="0.2">
      <c r="B23" s="419" t="s">
        <v>89</v>
      </c>
      <c r="C23" s="57"/>
      <c r="D23" s="322">
        <f t="shared" si="4"/>
        <v>0</v>
      </c>
      <c r="E23" s="502"/>
      <c r="F23" s="518"/>
      <c r="G23" s="518"/>
      <c r="H23" s="518"/>
      <c r="I23" s="518"/>
      <c r="J23" s="414"/>
      <c r="K23" s="502"/>
      <c r="L23" s="518"/>
      <c r="M23" s="518"/>
      <c r="N23" s="518"/>
      <c r="O23" s="518"/>
      <c r="P23" s="414"/>
    </row>
    <row r="24" spans="2:16" x14ac:dyDescent="0.2">
      <c r="B24" s="419" t="s">
        <v>90</v>
      </c>
      <c r="C24" s="57"/>
      <c r="D24" s="322">
        <f t="shared" si="4"/>
        <v>0</v>
      </c>
      <c r="E24" s="502"/>
      <c r="F24" s="518"/>
      <c r="G24" s="518"/>
      <c r="H24" s="518"/>
      <c r="I24" s="518"/>
      <c r="J24" s="414"/>
      <c r="K24" s="502"/>
      <c r="L24" s="518"/>
      <c r="M24" s="518"/>
      <c r="N24" s="518"/>
      <c r="O24" s="518"/>
      <c r="P24" s="414"/>
    </row>
    <row r="25" spans="2:16" x14ac:dyDescent="0.2">
      <c r="B25" s="421" t="s">
        <v>150</v>
      </c>
      <c r="C25" s="71"/>
      <c r="D25" s="322">
        <f t="shared" si="4"/>
        <v>0</v>
      </c>
      <c r="E25" s="502"/>
      <c r="F25" s="518"/>
      <c r="G25" s="518"/>
      <c r="H25" s="518"/>
      <c r="I25" s="518"/>
      <c r="J25" s="414"/>
      <c r="K25" s="502"/>
      <c r="L25" s="518"/>
      <c r="M25" s="518"/>
      <c r="N25" s="518"/>
      <c r="O25" s="518"/>
      <c r="P25" s="414"/>
    </row>
    <row r="26" spans="2:16" x14ac:dyDescent="0.2">
      <c r="B26" s="422" t="s">
        <v>11</v>
      </c>
      <c r="C26" s="52"/>
      <c r="D26" s="322">
        <f t="shared" si="4"/>
        <v>0</v>
      </c>
      <c r="E26" s="502"/>
      <c r="F26" s="518"/>
      <c r="G26" s="518"/>
      <c r="H26" s="518"/>
      <c r="I26" s="518"/>
      <c r="J26" s="414"/>
      <c r="K26" s="502"/>
      <c r="L26" s="518"/>
      <c r="M26" s="518"/>
      <c r="N26" s="518"/>
      <c r="O26" s="518"/>
      <c r="P26" s="414"/>
    </row>
    <row r="27" spans="2:16" x14ac:dyDescent="0.2">
      <c r="B27" s="419" t="s">
        <v>91</v>
      </c>
      <c r="C27" s="57"/>
      <c r="D27" s="322">
        <f t="shared" si="4"/>
        <v>0</v>
      </c>
      <c r="E27" s="502"/>
      <c r="F27" s="518"/>
      <c r="G27" s="518"/>
      <c r="H27" s="518"/>
      <c r="I27" s="518"/>
      <c r="J27" s="414"/>
      <c r="K27" s="502"/>
      <c r="L27" s="518"/>
      <c r="M27" s="518"/>
      <c r="N27" s="518"/>
      <c r="O27" s="518"/>
      <c r="P27" s="414"/>
    </row>
    <row r="28" spans="2:16" x14ac:dyDescent="0.2">
      <c r="B28" s="419" t="s">
        <v>92</v>
      </c>
      <c r="C28" s="57"/>
      <c r="D28" s="322">
        <f t="shared" si="4"/>
        <v>0</v>
      </c>
      <c r="E28" s="502"/>
      <c r="F28" s="518"/>
      <c r="G28" s="518"/>
      <c r="H28" s="518"/>
      <c r="I28" s="518"/>
      <c r="J28" s="414"/>
      <c r="K28" s="502"/>
      <c r="L28" s="518"/>
      <c r="M28" s="518"/>
      <c r="N28" s="518"/>
      <c r="O28" s="518"/>
      <c r="P28" s="414"/>
    </row>
    <row r="29" spans="2:16" x14ac:dyDescent="0.2">
      <c r="B29" s="423" t="s">
        <v>1</v>
      </c>
      <c r="C29" s="248"/>
      <c r="D29" s="322">
        <f t="shared" si="4"/>
        <v>0</v>
      </c>
      <c r="E29" s="506"/>
      <c r="F29" s="522"/>
      <c r="G29" s="522"/>
      <c r="H29" s="522"/>
      <c r="I29" s="522"/>
      <c r="J29" s="424"/>
      <c r="K29" s="506"/>
      <c r="L29" s="522"/>
      <c r="M29" s="522"/>
      <c r="N29" s="522"/>
      <c r="O29" s="522"/>
      <c r="P29" s="424"/>
    </row>
    <row r="30" spans="2:16" x14ac:dyDescent="0.2">
      <c r="B30" s="416" t="s">
        <v>242</v>
      </c>
      <c r="C30" s="260"/>
      <c r="D30" s="326">
        <f t="shared" si="4"/>
        <v>0</v>
      </c>
      <c r="E30" s="504">
        <f t="shared" ref="E30:P30" si="5">SUM(E20:E29)</f>
        <v>0</v>
      </c>
      <c r="F30" s="520">
        <f t="shared" si="5"/>
        <v>0</v>
      </c>
      <c r="G30" s="520">
        <f t="shared" si="5"/>
        <v>0</v>
      </c>
      <c r="H30" s="520">
        <f t="shared" si="5"/>
        <v>0</v>
      </c>
      <c r="I30" s="520">
        <f t="shared" si="5"/>
        <v>0</v>
      </c>
      <c r="J30" s="417">
        <f t="shared" si="5"/>
        <v>0</v>
      </c>
      <c r="K30" s="504">
        <f t="shared" si="5"/>
        <v>0</v>
      </c>
      <c r="L30" s="520">
        <f t="shared" si="5"/>
        <v>0</v>
      </c>
      <c r="M30" s="520">
        <f t="shared" si="5"/>
        <v>0</v>
      </c>
      <c r="N30" s="520">
        <f t="shared" si="5"/>
        <v>0</v>
      </c>
      <c r="O30" s="520">
        <f t="shared" si="5"/>
        <v>0</v>
      </c>
      <c r="P30" s="417">
        <f t="shared" si="5"/>
        <v>0</v>
      </c>
    </row>
    <row r="31" spans="2:16" ht="4.7" customHeight="1" x14ac:dyDescent="0.2">
      <c r="B31" s="406"/>
      <c r="D31" s="324"/>
      <c r="E31" s="505"/>
      <c r="F31" s="521"/>
      <c r="G31" s="534"/>
      <c r="H31" s="534"/>
      <c r="I31" s="534"/>
      <c r="J31" s="418"/>
      <c r="K31" s="540"/>
      <c r="L31" s="534"/>
      <c r="M31" s="534"/>
      <c r="N31" s="534"/>
      <c r="O31" s="534"/>
      <c r="P31" s="418"/>
    </row>
    <row r="32" spans="2:16" x14ac:dyDescent="0.2">
      <c r="B32" s="410" t="s">
        <v>144</v>
      </c>
      <c r="C32" s="5"/>
      <c r="D32" s="324"/>
      <c r="E32" s="505"/>
      <c r="F32" s="521"/>
      <c r="G32" s="534"/>
      <c r="H32" s="534"/>
      <c r="I32" s="534"/>
      <c r="J32" s="418"/>
      <c r="K32" s="540"/>
      <c r="L32" s="534"/>
      <c r="M32" s="534"/>
      <c r="N32" s="534"/>
      <c r="O32" s="534"/>
      <c r="P32" s="418"/>
    </row>
    <row r="33" spans="2:16" s="6" customFormat="1" x14ac:dyDescent="0.2">
      <c r="B33" s="420" t="s">
        <v>7</v>
      </c>
      <c r="C33" s="53"/>
      <c r="D33" s="321">
        <f t="shared" ref="D33:D44" si="6">SUM(E33:P33)</f>
        <v>0</v>
      </c>
      <c r="E33" s="501"/>
      <c r="F33" s="517"/>
      <c r="G33" s="517"/>
      <c r="H33" s="517"/>
      <c r="I33" s="517"/>
      <c r="J33" s="413"/>
      <c r="K33" s="501"/>
      <c r="L33" s="517"/>
      <c r="M33" s="517"/>
      <c r="N33" s="517"/>
      <c r="O33" s="517"/>
      <c r="P33" s="413"/>
    </row>
    <row r="34" spans="2:16" s="6" customFormat="1" x14ac:dyDescent="0.2">
      <c r="B34" s="425" t="s">
        <v>85</v>
      </c>
      <c r="C34" s="56"/>
      <c r="D34" s="322">
        <f t="shared" si="6"/>
        <v>0</v>
      </c>
      <c r="E34" s="502"/>
      <c r="F34" s="518"/>
      <c r="G34" s="518"/>
      <c r="H34" s="518"/>
      <c r="I34" s="518"/>
      <c r="J34" s="414"/>
      <c r="K34" s="502"/>
      <c r="L34" s="518"/>
      <c r="M34" s="518"/>
      <c r="N34" s="518"/>
      <c r="O34" s="518"/>
      <c r="P34" s="414"/>
    </row>
    <row r="35" spans="2:16" s="6" customFormat="1" x14ac:dyDescent="0.2">
      <c r="B35" s="426" t="s">
        <v>156</v>
      </c>
      <c r="C35" s="72"/>
      <c r="D35" s="322">
        <f t="shared" si="6"/>
        <v>0</v>
      </c>
      <c r="E35" s="502"/>
      <c r="F35" s="518"/>
      <c r="G35" s="518"/>
      <c r="H35" s="518"/>
      <c r="I35" s="518"/>
      <c r="J35" s="414"/>
      <c r="K35" s="502"/>
      <c r="L35" s="518"/>
      <c r="M35" s="518"/>
      <c r="N35" s="518"/>
      <c r="O35" s="518"/>
      <c r="P35" s="414"/>
    </row>
    <row r="36" spans="2:16" s="6" customFormat="1" x14ac:dyDescent="0.2">
      <c r="B36" s="426" t="s">
        <v>120</v>
      </c>
      <c r="C36" s="72"/>
      <c r="D36" s="322">
        <f t="shared" si="6"/>
        <v>0</v>
      </c>
      <c r="E36" s="502"/>
      <c r="F36" s="518"/>
      <c r="G36" s="518"/>
      <c r="H36" s="518"/>
      <c r="I36" s="518"/>
      <c r="J36" s="414"/>
      <c r="K36" s="502"/>
      <c r="L36" s="518"/>
      <c r="M36" s="518"/>
      <c r="N36" s="518"/>
      <c r="O36" s="518"/>
      <c r="P36" s="414"/>
    </row>
    <row r="37" spans="2:16" s="6" customFormat="1" x14ac:dyDescent="0.2">
      <c r="B37" s="419" t="s">
        <v>104</v>
      </c>
      <c r="C37" s="57"/>
      <c r="D37" s="322">
        <f t="shared" si="6"/>
        <v>0</v>
      </c>
      <c r="E37" s="502"/>
      <c r="F37" s="518"/>
      <c r="G37" s="518"/>
      <c r="H37" s="518"/>
      <c r="I37" s="518"/>
      <c r="J37" s="414"/>
      <c r="K37" s="502"/>
      <c r="L37" s="518"/>
      <c r="M37" s="518"/>
      <c r="N37" s="518"/>
      <c r="O37" s="518"/>
      <c r="P37" s="414"/>
    </row>
    <row r="38" spans="2:16" s="6" customFormat="1" x14ac:dyDescent="0.2">
      <c r="B38" s="420" t="s">
        <v>13</v>
      </c>
      <c r="C38" s="53"/>
      <c r="D38" s="322">
        <f t="shared" si="6"/>
        <v>0</v>
      </c>
      <c r="E38" s="502"/>
      <c r="F38" s="518"/>
      <c r="G38" s="518"/>
      <c r="H38" s="518"/>
      <c r="I38" s="518"/>
      <c r="J38" s="414"/>
      <c r="K38" s="502"/>
      <c r="L38" s="518"/>
      <c r="M38" s="518"/>
      <c r="N38" s="518"/>
      <c r="O38" s="518"/>
      <c r="P38" s="414"/>
    </row>
    <row r="39" spans="2:16" s="6" customFormat="1" x14ac:dyDescent="0.2">
      <c r="B39" s="425" t="s">
        <v>93</v>
      </c>
      <c r="C39" s="56"/>
      <c r="D39" s="322">
        <f t="shared" si="6"/>
        <v>0</v>
      </c>
      <c r="E39" s="502"/>
      <c r="F39" s="518"/>
      <c r="G39" s="518"/>
      <c r="H39" s="518"/>
      <c r="I39" s="518"/>
      <c r="J39" s="414"/>
      <c r="K39" s="502"/>
      <c r="L39" s="518"/>
      <c r="M39" s="518"/>
      <c r="N39" s="518"/>
      <c r="O39" s="518"/>
      <c r="P39" s="414"/>
    </row>
    <row r="40" spans="2:16" x14ac:dyDescent="0.2">
      <c r="B40" s="421" t="s">
        <v>119</v>
      </c>
      <c r="C40" s="71"/>
      <c r="D40" s="322">
        <f t="shared" si="6"/>
        <v>0</v>
      </c>
      <c r="E40" s="502"/>
      <c r="F40" s="518"/>
      <c r="G40" s="518"/>
      <c r="H40" s="518"/>
      <c r="I40" s="518"/>
      <c r="J40" s="414"/>
      <c r="K40" s="502"/>
      <c r="L40" s="518"/>
      <c r="M40" s="518"/>
      <c r="N40" s="518"/>
      <c r="O40" s="518"/>
      <c r="P40" s="414"/>
    </row>
    <row r="41" spans="2:16" x14ac:dyDescent="0.2">
      <c r="B41" s="419" t="s">
        <v>94</v>
      </c>
      <c r="C41" s="57"/>
      <c r="D41" s="322">
        <f t="shared" si="6"/>
        <v>0</v>
      </c>
      <c r="E41" s="502"/>
      <c r="F41" s="518"/>
      <c r="G41" s="518"/>
      <c r="H41" s="518"/>
      <c r="I41" s="518"/>
      <c r="J41" s="414"/>
      <c r="K41" s="502"/>
      <c r="L41" s="518"/>
      <c r="M41" s="518"/>
      <c r="N41" s="518"/>
      <c r="O41" s="518"/>
      <c r="P41" s="414"/>
    </row>
    <row r="42" spans="2:16" x14ac:dyDescent="0.2">
      <c r="B42" s="427" t="s">
        <v>1</v>
      </c>
      <c r="C42" s="249"/>
      <c r="D42" s="322">
        <f t="shared" si="6"/>
        <v>0</v>
      </c>
      <c r="E42" s="502"/>
      <c r="F42" s="518"/>
      <c r="G42" s="518"/>
      <c r="H42" s="518"/>
      <c r="I42" s="518"/>
      <c r="J42" s="414"/>
      <c r="K42" s="502"/>
      <c r="L42" s="518"/>
      <c r="M42" s="518"/>
      <c r="N42" s="518"/>
      <c r="O42" s="518"/>
      <c r="P42" s="414"/>
    </row>
    <row r="43" spans="2:16" x14ac:dyDescent="0.2">
      <c r="B43" s="428" t="s">
        <v>243</v>
      </c>
      <c r="C43" s="261"/>
      <c r="D43" s="326">
        <f t="shared" si="6"/>
        <v>0</v>
      </c>
      <c r="E43" s="504">
        <f t="shared" ref="E43:P43" si="7">SUM(E33:E42)</f>
        <v>0</v>
      </c>
      <c r="F43" s="520">
        <f t="shared" si="7"/>
        <v>0</v>
      </c>
      <c r="G43" s="520">
        <f t="shared" si="7"/>
        <v>0</v>
      </c>
      <c r="H43" s="520">
        <f t="shared" si="7"/>
        <v>0</v>
      </c>
      <c r="I43" s="520">
        <f t="shared" si="7"/>
        <v>0</v>
      </c>
      <c r="J43" s="417">
        <f t="shared" si="7"/>
        <v>0</v>
      </c>
      <c r="K43" s="504">
        <f t="shared" si="7"/>
        <v>0</v>
      </c>
      <c r="L43" s="520">
        <f t="shared" si="7"/>
        <v>0</v>
      </c>
      <c r="M43" s="520">
        <f t="shared" si="7"/>
        <v>0</v>
      </c>
      <c r="N43" s="520">
        <f t="shared" si="7"/>
        <v>0</v>
      </c>
      <c r="O43" s="520">
        <f t="shared" si="7"/>
        <v>0</v>
      </c>
      <c r="P43" s="417">
        <f t="shared" si="7"/>
        <v>0</v>
      </c>
    </row>
    <row r="44" spans="2:16" ht="13.5" thickBot="1" x14ac:dyDescent="0.25">
      <c r="B44" s="429" t="s">
        <v>135</v>
      </c>
      <c r="C44" s="262"/>
      <c r="D44" s="327">
        <f t="shared" si="6"/>
        <v>0</v>
      </c>
      <c r="E44" s="507">
        <f t="shared" ref="E44:P44" si="8">E30+E43</f>
        <v>0</v>
      </c>
      <c r="F44" s="523">
        <f t="shared" si="8"/>
        <v>0</v>
      </c>
      <c r="G44" s="523">
        <f t="shared" si="8"/>
        <v>0</v>
      </c>
      <c r="H44" s="523">
        <f t="shared" si="8"/>
        <v>0</v>
      </c>
      <c r="I44" s="523">
        <f t="shared" si="8"/>
        <v>0</v>
      </c>
      <c r="J44" s="430">
        <f t="shared" si="8"/>
        <v>0</v>
      </c>
      <c r="K44" s="507">
        <f t="shared" si="8"/>
        <v>0</v>
      </c>
      <c r="L44" s="523">
        <f t="shared" si="8"/>
        <v>0</v>
      </c>
      <c r="M44" s="523">
        <f t="shared" si="8"/>
        <v>0</v>
      </c>
      <c r="N44" s="523">
        <f t="shared" si="8"/>
        <v>0</v>
      </c>
      <c r="O44" s="523">
        <f t="shared" si="8"/>
        <v>0</v>
      </c>
      <c r="P44" s="430">
        <f t="shared" si="8"/>
        <v>0</v>
      </c>
    </row>
    <row r="45" spans="2:16" ht="3.95" customHeight="1" thickTop="1" x14ac:dyDescent="0.2">
      <c r="B45" s="431"/>
      <c r="C45" s="10"/>
      <c r="D45" s="325"/>
      <c r="E45" s="508"/>
      <c r="F45" s="524"/>
      <c r="G45" s="524"/>
      <c r="H45" s="524"/>
      <c r="I45" s="524"/>
      <c r="J45" s="432"/>
      <c r="K45" s="508"/>
      <c r="L45" s="524"/>
      <c r="M45" s="524"/>
      <c r="N45" s="524"/>
      <c r="O45" s="524"/>
      <c r="P45" s="432"/>
    </row>
    <row r="46" spans="2:16" s="13" customFormat="1" ht="13.5" thickBot="1" x14ac:dyDescent="0.25">
      <c r="B46" s="433" t="s">
        <v>240</v>
      </c>
      <c r="C46" s="263"/>
      <c r="D46" s="328">
        <f>D17-D44</f>
        <v>0</v>
      </c>
      <c r="E46" s="509">
        <f t="shared" ref="E46:P46" si="9">E17-E44</f>
        <v>0</v>
      </c>
      <c r="F46" s="525">
        <f t="shared" si="9"/>
        <v>0</v>
      </c>
      <c r="G46" s="525">
        <f t="shared" si="9"/>
        <v>0</v>
      </c>
      <c r="H46" s="525">
        <f t="shared" si="9"/>
        <v>0</v>
      </c>
      <c r="I46" s="525">
        <f t="shared" si="9"/>
        <v>0</v>
      </c>
      <c r="J46" s="434">
        <f t="shared" si="9"/>
        <v>0</v>
      </c>
      <c r="K46" s="509">
        <f t="shared" si="9"/>
        <v>0</v>
      </c>
      <c r="L46" s="525">
        <f t="shared" si="9"/>
        <v>0</v>
      </c>
      <c r="M46" s="525">
        <f t="shared" si="9"/>
        <v>0</v>
      </c>
      <c r="N46" s="525">
        <f t="shared" si="9"/>
        <v>0</v>
      </c>
      <c r="O46" s="525">
        <f t="shared" si="9"/>
        <v>0</v>
      </c>
      <c r="P46" s="434">
        <f t="shared" si="9"/>
        <v>0</v>
      </c>
    </row>
    <row r="47" spans="2:16" ht="4.7" customHeight="1" thickTop="1" x14ac:dyDescent="0.2">
      <c r="B47" s="435"/>
      <c r="C47" s="13"/>
      <c r="D47" s="324"/>
      <c r="E47" s="505"/>
      <c r="F47" s="521"/>
      <c r="G47" s="534"/>
      <c r="H47" s="534"/>
      <c r="I47" s="534"/>
      <c r="J47" s="418"/>
      <c r="K47" s="540"/>
      <c r="L47" s="534"/>
      <c r="M47" s="534"/>
      <c r="N47" s="534"/>
      <c r="O47" s="534"/>
      <c r="P47" s="418"/>
    </row>
    <row r="48" spans="2:16" x14ac:dyDescent="0.2">
      <c r="B48" s="435" t="s">
        <v>236</v>
      </c>
      <c r="C48" s="13"/>
      <c r="D48" s="324"/>
      <c r="E48" s="505"/>
      <c r="F48" s="521"/>
      <c r="G48" s="534"/>
      <c r="H48" s="534"/>
      <c r="I48" s="534"/>
      <c r="J48" s="418"/>
      <c r="K48" s="540"/>
      <c r="L48" s="534"/>
      <c r="M48" s="534"/>
      <c r="N48" s="534"/>
      <c r="O48" s="534"/>
      <c r="P48" s="418"/>
    </row>
    <row r="49" spans="1:19" x14ac:dyDescent="0.2">
      <c r="B49" s="436" t="s">
        <v>231</v>
      </c>
      <c r="C49" s="258"/>
      <c r="D49" s="321">
        <f>SUM(E49:P49)</f>
        <v>0</v>
      </c>
      <c r="E49" s="510"/>
      <c r="F49" s="526"/>
      <c r="G49" s="526"/>
      <c r="H49" s="526"/>
      <c r="I49" s="526"/>
      <c r="J49" s="437"/>
      <c r="K49" s="510"/>
      <c r="L49" s="526"/>
      <c r="M49" s="526"/>
      <c r="N49" s="526"/>
      <c r="O49" s="526"/>
      <c r="P49" s="437"/>
    </row>
    <row r="50" spans="1:19" x14ac:dyDescent="0.2">
      <c r="B50" s="438" t="s">
        <v>260</v>
      </c>
      <c r="C50" s="258"/>
      <c r="D50" s="321">
        <f t="shared" ref="D50:D51" si="10">SUM(E50:P50)</f>
        <v>0</v>
      </c>
      <c r="E50" s="510"/>
      <c r="F50" s="526"/>
      <c r="G50" s="526"/>
      <c r="H50" s="526"/>
      <c r="I50" s="526"/>
      <c r="J50" s="437"/>
      <c r="K50" s="510"/>
      <c r="L50" s="526"/>
      <c r="M50" s="526"/>
      <c r="N50" s="526"/>
      <c r="O50" s="526"/>
      <c r="P50" s="437"/>
    </row>
    <row r="51" spans="1:19" x14ac:dyDescent="0.2">
      <c r="B51" s="438" t="s">
        <v>261</v>
      </c>
      <c r="C51" s="258"/>
      <c r="D51" s="321">
        <f t="shared" si="10"/>
        <v>0</v>
      </c>
      <c r="E51" s="510"/>
      <c r="F51" s="526"/>
      <c r="G51" s="526"/>
      <c r="H51" s="526"/>
      <c r="I51" s="526"/>
      <c r="J51" s="437"/>
      <c r="K51" s="510"/>
      <c r="L51" s="526"/>
      <c r="M51" s="526"/>
      <c r="N51" s="526"/>
      <c r="O51" s="526"/>
      <c r="P51" s="437"/>
    </row>
    <row r="52" spans="1:19" x14ac:dyDescent="0.2">
      <c r="B52" s="439" t="s">
        <v>232</v>
      </c>
      <c r="C52" s="259"/>
      <c r="D52" s="322">
        <f>SUM(E52:P52)</f>
        <v>0</v>
      </c>
      <c r="E52" s="502"/>
      <c r="F52" s="518"/>
      <c r="G52" s="518"/>
      <c r="H52" s="518"/>
      <c r="I52" s="518"/>
      <c r="J52" s="414"/>
      <c r="K52" s="502"/>
      <c r="L52" s="518"/>
      <c r="M52" s="518"/>
      <c r="N52" s="518"/>
      <c r="O52" s="518"/>
      <c r="P52" s="414"/>
    </row>
    <row r="53" spans="1:19" x14ac:dyDescent="0.2">
      <c r="B53" s="439" t="s">
        <v>321</v>
      </c>
      <c r="C53" s="259"/>
      <c r="D53" s="322">
        <f t="shared" ref="D53:D55" si="11">SUM(E53:P53)</f>
        <v>0</v>
      </c>
      <c r="E53" s="502"/>
      <c r="F53" s="518"/>
      <c r="G53" s="518"/>
      <c r="H53" s="518"/>
      <c r="I53" s="518"/>
      <c r="J53" s="414"/>
      <c r="K53" s="502"/>
      <c r="L53" s="518"/>
      <c r="M53" s="518"/>
      <c r="N53" s="518"/>
      <c r="O53" s="518"/>
      <c r="P53" s="414"/>
    </row>
    <row r="54" spans="1:19" x14ac:dyDescent="0.2">
      <c r="B54" s="436" t="s">
        <v>233</v>
      </c>
      <c r="C54" s="258"/>
      <c r="D54" s="322">
        <f t="shared" si="11"/>
        <v>0</v>
      </c>
      <c r="E54" s="502"/>
      <c r="F54" s="518"/>
      <c r="G54" s="518"/>
      <c r="H54" s="518"/>
      <c r="I54" s="518"/>
      <c r="J54" s="414"/>
      <c r="K54" s="502"/>
      <c r="L54" s="518"/>
      <c r="M54" s="518"/>
      <c r="N54" s="518"/>
      <c r="O54" s="518"/>
      <c r="P54" s="414"/>
    </row>
    <row r="55" spans="1:19" x14ac:dyDescent="0.2">
      <c r="B55" s="436" t="s">
        <v>322</v>
      </c>
      <c r="C55" s="258"/>
      <c r="D55" s="322">
        <f t="shared" si="11"/>
        <v>0</v>
      </c>
      <c r="E55" s="502"/>
      <c r="F55" s="518"/>
      <c r="G55" s="518"/>
      <c r="H55" s="518"/>
      <c r="I55" s="518"/>
      <c r="J55" s="414"/>
      <c r="K55" s="502"/>
      <c r="L55" s="518"/>
      <c r="M55" s="518"/>
      <c r="N55" s="518"/>
      <c r="O55" s="518"/>
      <c r="P55" s="414"/>
    </row>
    <row r="56" spans="1:19" ht="5.0999999999999996" customHeight="1" x14ac:dyDescent="0.2">
      <c r="B56" s="431"/>
      <c r="C56" s="10"/>
      <c r="D56" s="321"/>
      <c r="E56" s="511"/>
      <c r="F56" s="527"/>
      <c r="G56" s="527"/>
      <c r="H56" s="527"/>
      <c r="I56" s="527"/>
      <c r="J56" s="440"/>
      <c r="K56" s="511"/>
      <c r="L56" s="527"/>
      <c r="M56" s="527"/>
      <c r="N56" s="527"/>
      <c r="O56" s="527"/>
      <c r="P56" s="440"/>
    </row>
    <row r="57" spans="1:19" x14ac:dyDescent="0.2">
      <c r="B57" s="441" t="s">
        <v>241</v>
      </c>
      <c r="C57" s="276"/>
      <c r="D57" s="326">
        <f>D17-D44-D13-D14+D36+D37-D49+D52+D54+MCFNewCredTot-MCFCapPurchTot</f>
        <v>0</v>
      </c>
      <c r="E57" s="512">
        <f>E17-E44-E13-E14+E36+E37-E49+E52+E54+E50-E51</f>
        <v>0</v>
      </c>
      <c r="F57" s="528">
        <f t="shared" ref="F57:P57" si="12">F17-F44-F13-F14+F36+F37-F49+F52+F54+F50-F51</f>
        <v>0</v>
      </c>
      <c r="G57" s="528">
        <f t="shared" si="12"/>
        <v>0</v>
      </c>
      <c r="H57" s="528">
        <f t="shared" si="12"/>
        <v>0</v>
      </c>
      <c r="I57" s="528">
        <f t="shared" si="12"/>
        <v>0</v>
      </c>
      <c r="J57" s="442">
        <f t="shared" si="12"/>
        <v>0</v>
      </c>
      <c r="K57" s="512">
        <f t="shared" si="12"/>
        <v>0</v>
      </c>
      <c r="L57" s="528">
        <f t="shared" si="12"/>
        <v>0</v>
      </c>
      <c r="M57" s="528">
        <f t="shared" si="12"/>
        <v>0</v>
      </c>
      <c r="N57" s="528">
        <f t="shared" si="12"/>
        <v>0</v>
      </c>
      <c r="O57" s="528">
        <f t="shared" si="12"/>
        <v>0</v>
      </c>
      <c r="P57" s="442">
        <f t="shared" si="12"/>
        <v>0</v>
      </c>
    </row>
    <row r="58" spans="1:19" ht="5.0999999999999996" customHeight="1" x14ac:dyDescent="0.2">
      <c r="B58" s="406"/>
      <c r="D58" s="324"/>
      <c r="E58" s="508"/>
      <c r="F58" s="524"/>
      <c r="G58" s="535"/>
      <c r="H58" s="535"/>
      <c r="I58" s="535"/>
      <c r="J58" s="443"/>
      <c r="K58" s="541"/>
      <c r="L58" s="535"/>
      <c r="M58" s="535"/>
      <c r="N58" s="339"/>
      <c r="O58" s="535"/>
      <c r="P58" s="443"/>
    </row>
    <row r="59" spans="1:19" ht="15" customHeight="1" thickBot="1" x14ac:dyDescent="0.25">
      <c r="B59" s="454" t="s">
        <v>249</v>
      </c>
      <c r="C59" s="455"/>
      <c r="D59" s="456"/>
      <c r="E59" s="513">
        <f>E57</f>
        <v>0</v>
      </c>
      <c r="F59" s="529">
        <f>E59+F57</f>
        <v>0</v>
      </c>
      <c r="G59" s="529">
        <f t="shared" ref="G59:P59" si="13">F59+G57</f>
        <v>0</v>
      </c>
      <c r="H59" s="529">
        <f t="shared" si="13"/>
        <v>0</v>
      </c>
      <c r="I59" s="529">
        <f t="shared" si="13"/>
        <v>0</v>
      </c>
      <c r="J59" s="457">
        <f t="shared" si="13"/>
        <v>0</v>
      </c>
      <c r="K59" s="513">
        <f t="shared" si="13"/>
        <v>0</v>
      </c>
      <c r="L59" s="529">
        <f t="shared" si="13"/>
        <v>0</v>
      </c>
      <c r="M59" s="529">
        <f t="shared" si="13"/>
        <v>0</v>
      </c>
      <c r="N59" s="529">
        <f t="shared" si="13"/>
        <v>0</v>
      </c>
      <c r="O59" s="529">
        <f t="shared" si="13"/>
        <v>0</v>
      </c>
      <c r="P59" s="457">
        <f t="shared" si="13"/>
        <v>0</v>
      </c>
    </row>
    <row r="60" spans="1:19" ht="13.5" thickBot="1" x14ac:dyDescent="0.25">
      <c r="B60" s="13"/>
      <c r="C60" s="13"/>
      <c r="D60" s="324"/>
      <c r="E60" s="337"/>
      <c r="F60" s="337"/>
      <c r="G60" s="338"/>
      <c r="H60" s="338"/>
      <c r="I60" s="338"/>
      <c r="J60" s="338"/>
      <c r="K60" s="338"/>
      <c r="L60" s="338"/>
      <c r="M60" s="338"/>
      <c r="N60" s="338"/>
      <c r="O60" s="338"/>
      <c r="P60" s="338"/>
    </row>
    <row r="61" spans="1:19" ht="15" customHeight="1" thickTop="1" thickBot="1" x14ac:dyDescent="0.25">
      <c r="A61" s="3" t="s">
        <v>252</v>
      </c>
      <c r="C61" s="463"/>
      <c r="D61" s="464"/>
      <c r="E61" s="465"/>
      <c r="F61" s="465"/>
      <c r="G61" s="465"/>
      <c r="H61" s="465"/>
      <c r="I61" s="465"/>
      <c r="J61" s="465"/>
      <c r="K61" s="465"/>
      <c r="L61" s="465"/>
      <c r="M61" s="465"/>
      <c r="N61" s="465"/>
      <c r="O61" s="465"/>
      <c r="P61" s="465"/>
      <c r="S61" s="266"/>
    </row>
    <row r="62" spans="1:19" s="50" customFormat="1" ht="15" x14ac:dyDescent="0.2">
      <c r="A62" s="274" t="s">
        <v>250</v>
      </c>
      <c r="B62" s="458" t="s">
        <v>140</v>
      </c>
      <c r="C62" s="403"/>
      <c r="D62" s="330" t="s">
        <v>30</v>
      </c>
      <c r="E62" s="543" t="s">
        <v>19</v>
      </c>
      <c r="F62" s="546" t="s">
        <v>20</v>
      </c>
      <c r="G62" s="546" t="s">
        <v>21</v>
      </c>
      <c r="H62" s="546" t="s">
        <v>22</v>
      </c>
      <c r="I62" s="546" t="s">
        <v>18</v>
      </c>
      <c r="J62" s="444" t="s">
        <v>23</v>
      </c>
      <c r="K62" s="549" t="s">
        <v>24</v>
      </c>
      <c r="L62" s="550" t="s">
        <v>25</v>
      </c>
      <c r="M62" s="550" t="s">
        <v>26</v>
      </c>
      <c r="N62" s="550" t="s">
        <v>27</v>
      </c>
      <c r="O62" s="550" t="s">
        <v>28</v>
      </c>
      <c r="P62" s="461" t="s">
        <v>29</v>
      </c>
      <c r="S62" s="247"/>
    </row>
    <row r="63" spans="1:19" x14ac:dyDescent="0.2">
      <c r="A63" s="3" t="s">
        <v>250</v>
      </c>
      <c r="B63" s="410" t="s">
        <v>145</v>
      </c>
      <c r="C63" s="5"/>
      <c r="D63" s="324"/>
      <c r="E63" s="505"/>
      <c r="F63" s="521"/>
      <c r="G63" s="534"/>
      <c r="H63" s="534"/>
      <c r="I63" s="534"/>
      <c r="J63" s="418"/>
      <c r="K63" s="540"/>
      <c r="L63" s="534"/>
      <c r="M63" s="534"/>
      <c r="N63" s="534"/>
      <c r="O63" s="534"/>
      <c r="P63" s="418"/>
      <c r="S63" s="247"/>
    </row>
    <row r="64" spans="1:19" x14ac:dyDescent="0.2">
      <c r="A64" s="3" t="s">
        <v>250</v>
      </c>
      <c r="B64" s="412" t="s">
        <v>130</v>
      </c>
      <c r="C64" s="66"/>
      <c r="D64" s="321">
        <f>SUM(E64:P64)</f>
        <v>0</v>
      </c>
      <c r="E64" s="501"/>
      <c r="F64" s="517"/>
      <c r="G64" s="517"/>
      <c r="H64" s="517"/>
      <c r="I64" s="517"/>
      <c r="J64" s="413"/>
      <c r="K64" s="501"/>
      <c r="L64" s="517"/>
      <c r="M64" s="517"/>
      <c r="N64" s="517"/>
      <c r="O64" s="517"/>
      <c r="P64" s="413"/>
      <c r="S64" s="247"/>
    </row>
    <row r="65" spans="1:19" x14ac:dyDescent="0.2">
      <c r="A65" s="3" t="s">
        <v>250</v>
      </c>
      <c r="B65" s="412" t="s">
        <v>131</v>
      </c>
      <c r="C65" s="66"/>
      <c r="D65" s="322">
        <f>SUM(E65:P65)</f>
        <v>0</v>
      </c>
      <c r="E65" s="502"/>
      <c r="F65" s="518"/>
      <c r="G65" s="518"/>
      <c r="H65" s="518"/>
      <c r="I65" s="518"/>
      <c r="J65" s="414"/>
      <c r="K65" s="502"/>
      <c r="L65" s="518"/>
      <c r="M65" s="518"/>
      <c r="N65" s="518"/>
      <c r="O65" s="518"/>
      <c r="P65" s="414"/>
      <c r="S65" s="247"/>
    </row>
    <row r="66" spans="1:19" x14ac:dyDescent="0.2">
      <c r="A66" s="3" t="s">
        <v>250</v>
      </c>
      <c r="B66" s="412" t="s">
        <v>132</v>
      </c>
      <c r="C66" s="66"/>
      <c r="D66" s="322">
        <f>SUM(E66:P66)</f>
        <v>0</v>
      </c>
      <c r="E66" s="503">
        <f>E102-E103</f>
        <v>0</v>
      </c>
      <c r="F66" s="519">
        <f t="shared" ref="F66:P66" si="14">F102-F103</f>
        <v>0</v>
      </c>
      <c r="G66" s="519">
        <f t="shared" si="14"/>
        <v>0</v>
      </c>
      <c r="H66" s="519">
        <f t="shared" si="14"/>
        <v>0</v>
      </c>
      <c r="I66" s="519">
        <f t="shared" si="14"/>
        <v>0</v>
      </c>
      <c r="J66" s="470">
        <f t="shared" si="14"/>
        <v>0</v>
      </c>
      <c r="K66" s="503">
        <f t="shared" si="14"/>
        <v>0</v>
      </c>
      <c r="L66" s="519">
        <f t="shared" si="14"/>
        <v>0</v>
      </c>
      <c r="M66" s="519">
        <f t="shared" si="14"/>
        <v>0</v>
      </c>
      <c r="N66" s="519">
        <f t="shared" si="14"/>
        <v>0</v>
      </c>
      <c r="O66" s="519">
        <f t="shared" si="14"/>
        <v>0</v>
      </c>
      <c r="P66" s="470">
        <f t="shared" si="14"/>
        <v>0</v>
      </c>
      <c r="S66" s="247"/>
    </row>
    <row r="67" spans="1:19" x14ac:dyDescent="0.2">
      <c r="A67" s="3" t="s">
        <v>250</v>
      </c>
      <c r="B67" s="415" t="s">
        <v>1</v>
      </c>
      <c r="C67" s="246"/>
      <c r="D67" s="322">
        <f>SUM(E67:P67)</f>
        <v>0</v>
      </c>
      <c r="E67" s="502"/>
      <c r="F67" s="518"/>
      <c r="G67" s="518"/>
      <c r="H67" s="518"/>
      <c r="I67" s="518"/>
      <c r="J67" s="414"/>
      <c r="K67" s="502"/>
      <c r="L67" s="518"/>
      <c r="M67" s="518"/>
      <c r="N67" s="518"/>
      <c r="O67" s="518"/>
      <c r="P67" s="414"/>
      <c r="S67" s="247"/>
    </row>
    <row r="68" spans="1:19" x14ac:dyDescent="0.2">
      <c r="A68" s="3" t="s">
        <v>250</v>
      </c>
      <c r="B68" s="416" t="s">
        <v>234</v>
      </c>
      <c r="C68" s="260"/>
      <c r="D68" s="323">
        <f>SUM(D64:D67)</f>
        <v>0</v>
      </c>
      <c r="E68" s="504">
        <f t="shared" ref="E68:P68" si="15">SUM(E64:E67)</f>
        <v>0</v>
      </c>
      <c r="F68" s="520">
        <f t="shared" si="15"/>
        <v>0</v>
      </c>
      <c r="G68" s="520">
        <f t="shared" si="15"/>
        <v>0</v>
      </c>
      <c r="H68" s="520">
        <f t="shared" si="15"/>
        <v>0</v>
      </c>
      <c r="I68" s="520">
        <f t="shared" si="15"/>
        <v>0</v>
      </c>
      <c r="J68" s="417">
        <f t="shared" si="15"/>
        <v>0</v>
      </c>
      <c r="K68" s="504">
        <f t="shared" si="15"/>
        <v>0</v>
      </c>
      <c r="L68" s="520">
        <f t="shared" si="15"/>
        <v>0</v>
      </c>
      <c r="M68" s="520">
        <f t="shared" si="15"/>
        <v>0</v>
      </c>
      <c r="N68" s="520">
        <f t="shared" si="15"/>
        <v>0</v>
      </c>
      <c r="O68" s="520">
        <f t="shared" si="15"/>
        <v>0</v>
      </c>
      <c r="P68" s="417">
        <f t="shared" si="15"/>
        <v>0</v>
      </c>
      <c r="S68" s="247"/>
    </row>
    <row r="69" spans="1:19" ht="6.95" customHeight="1" x14ac:dyDescent="0.2">
      <c r="A69" s="3" t="s">
        <v>250</v>
      </c>
      <c r="B69" s="406"/>
      <c r="D69" s="324"/>
      <c r="E69" s="505"/>
      <c r="F69" s="521"/>
      <c r="G69" s="534"/>
      <c r="H69" s="534"/>
      <c r="I69" s="534"/>
      <c r="J69" s="418"/>
      <c r="K69" s="540"/>
      <c r="L69" s="534"/>
      <c r="M69" s="534"/>
      <c r="N69" s="534"/>
      <c r="O69" s="534"/>
      <c r="P69" s="418"/>
      <c r="S69" s="247"/>
    </row>
    <row r="70" spans="1:19" x14ac:dyDescent="0.2">
      <c r="A70" s="3" t="s">
        <v>250</v>
      </c>
      <c r="B70" s="410" t="s">
        <v>146</v>
      </c>
      <c r="C70" s="5"/>
      <c r="D70" s="324"/>
      <c r="E70" s="505"/>
      <c r="F70" s="521"/>
      <c r="G70" s="534"/>
      <c r="H70" s="534"/>
      <c r="I70" s="534"/>
      <c r="J70" s="418"/>
      <c r="K70" s="540"/>
      <c r="L70" s="534"/>
      <c r="M70" s="534"/>
      <c r="N70" s="534"/>
      <c r="O70" s="534"/>
      <c r="P70" s="418"/>
      <c r="S70" s="247"/>
    </row>
    <row r="71" spans="1:19" x14ac:dyDescent="0.2">
      <c r="A71" s="3" t="s">
        <v>250</v>
      </c>
      <c r="B71" s="412" t="s">
        <v>105</v>
      </c>
      <c r="C71" s="66"/>
      <c r="D71" s="321">
        <f t="shared" ref="D71:D81" si="16">SUM(E71:P71)</f>
        <v>0</v>
      </c>
      <c r="E71" s="501"/>
      <c r="F71" s="517"/>
      <c r="G71" s="517"/>
      <c r="H71" s="517"/>
      <c r="I71" s="517"/>
      <c r="J71" s="413"/>
      <c r="K71" s="501"/>
      <c r="L71" s="517"/>
      <c r="M71" s="517"/>
      <c r="N71" s="517"/>
      <c r="O71" s="517"/>
      <c r="P71" s="413"/>
      <c r="S71" s="247"/>
    </row>
    <row r="72" spans="1:19" x14ac:dyDescent="0.2">
      <c r="A72" s="3" t="s">
        <v>250</v>
      </c>
      <c r="B72" s="412" t="s">
        <v>96</v>
      </c>
      <c r="C72" s="66"/>
      <c r="D72" s="322">
        <f t="shared" si="16"/>
        <v>0</v>
      </c>
      <c r="E72" s="502"/>
      <c r="F72" s="518"/>
      <c r="G72" s="518"/>
      <c r="H72" s="518"/>
      <c r="I72" s="518"/>
      <c r="J72" s="414"/>
      <c r="K72" s="502"/>
      <c r="L72" s="518"/>
      <c r="M72" s="518"/>
      <c r="N72" s="518"/>
      <c r="O72" s="518"/>
      <c r="P72" s="414"/>
      <c r="S72" s="247"/>
    </row>
    <row r="73" spans="1:19" s="6" customFormat="1" x14ac:dyDescent="0.2">
      <c r="A73" s="6" t="s">
        <v>250</v>
      </c>
      <c r="B73" s="412" t="s">
        <v>106</v>
      </c>
      <c r="C73" s="66"/>
      <c r="D73" s="322">
        <f t="shared" si="16"/>
        <v>0</v>
      </c>
      <c r="E73" s="502"/>
      <c r="F73" s="518"/>
      <c r="G73" s="518"/>
      <c r="H73" s="518"/>
      <c r="I73" s="518"/>
      <c r="J73" s="414"/>
      <c r="K73" s="502"/>
      <c r="L73" s="518"/>
      <c r="M73" s="518"/>
      <c r="N73" s="518"/>
      <c r="O73" s="518"/>
      <c r="P73" s="414"/>
      <c r="S73" s="247"/>
    </row>
    <row r="74" spans="1:19" x14ac:dyDescent="0.2">
      <c r="A74" s="3" t="s">
        <v>250</v>
      </c>
      <c r="B74" s="412" t="s">
        <v>127</v>
      </c>
      <c r="C74" s="66"/>
      <c r="D74" s="322">
        <f t="shared" si="16"/>
        <v>0</v>
      </c>
      <c r="E74" s="502"/>
      <c r="F74" s="518"/>
      <c r="G74" s="518"/>
      <c r="H74" s="518"/>
      <c r="I74" s="518"/>
      <c r="J74" s="414"/>
      <c r="K74" s="502"/>
      <c r="L74" s="518"/>
      <c r="M74" s="518"/>
      <c r="N74" s="518"/>
      <c r="O74" s="518"/>
      <c r="P74" s="414"/>
      <c r="S74" s="247"/>
    </row>
    <row r="75" spans="1:19" x14ac:dyDescent="0.2">
      <c r="A75" s="3" t="s">
        <v>250</v>
      </c>
      <c r="B75" s="412" t="s">
        <v>107</v>
      </c>
      <c r="C75" s="66"/>
      <c r="D75" s="322">
        <f t="shared" si="16"/>
        <v>0</v>
      </c>
      <c r="E75" s="502"/>
      <c r="F75" s="518"/>
      <c r="G75" s="518"/>
      <c r="H75" s="518"/>
      <c r="I75" s="518"/>
      <c r="J75" s="414"/>
      <c r="K75" s="502"/>
      <c r="L75" s="518"/>
      <c r="M75" s="518"/>
      <c r="N75" s="518"/>
      <c r="O75" s="518"/>
      <c r="P75" s="414"/>
      <c r="S75" s="247"/>
    </row>
    <row r="76" spans="1:19" x14ac:dyDescent="0.2">
      <c r="A76" s="3" t="s">
        <v>250</v>
      </c>
      <c r="B76" s="412" t="s">
        <v>95</v>
      </c>
      <c r="C76" s="66"/>
      <c r="D76" s="322">
        <f t="shared" si="16"/>
        <v>0</v>
      </c>
      <c r="E76" s="502"/>
      <c r="F76" s="518"/>
      <c r="G76" s="518"/>
      <c r="H76" s="518"/>
      <c r="I76" s="518"/>
      <c r="J76" s="414"/>
      <c r="K76" s="502"/>
      <c r="L76" s="518"/>
      <c r="M76" s="518"/>
      <c r="N76" s="518"/>
      <c r="O76" s="518"/>
      <c r="P76" s="414"/>
      <c r="S76" s="247"/>
    </row>
    <row r="77" spans="1:19" x14ac:dyDescent="0.2">
      <c r="A77" s="3" t="s">
        <v>250</v>
      </c>
      <c r="B77" s="412" t="s">
        <v>122</v>
      </c>
      <c r="C77" s="66"/>
      <c r="D77" s="322">
        <f t="shared" si="16"/>
        <v>0</v>
      </c>
      <c r="E77" s="502"/>
      <c r="F77" s="518"/>
      <c r="G77" s="518"/>
      <c r="H77" s="518"/>
      <c r="I77" s="518"/>
      <c r="J77" s="414"/>
      <c r="K77" s="502"/>
      <c r="L77" s="518"/>
      <c r="M77" s="518"/>
      <c r="N77" s="518"/>
      <c r="O77" s="518"/>
      <c r="P77" s="414"/>
      <c r="S77" s="247"/>
    </row>
    <row r="78" spans="1:19" x14ac:dyDescent="0.2">
      <c r="A78" s="3" t="s">
        <v>250</v>
      </c>
      <c r="B78" s="412" t="s">
        <v>158</v>
      </c>
      <c r="C78" s="66"/>
      <c r="D78" s="322">
        <f t="shared" si="16"/>
        <v>0</v>
      </c>
      <c r="E78" s="502"/>
      <c r="F78" s="518"/>
      <c r="G78" s="518"/>
      <c r="H78" s="518"/>
      <c r="I78" s="518"/>
      <c r="J78" s="414"/>
      <c r="K78" s="502"/>
      <c r="L78" s="518"/>
      <c r="M78" s="518"/>
      <c r="N78" s="518"/>
      <c r="O78" s="518"/>
      <c r="P78" s="414"/>
      <c r="S78" s="247"/>
    </row>
    <row r="79" spans="1:19" x14ac:dyDescent="0.2">
      <c r="A79" s="3" t="s">
        <v>250</v>
      </c>
      <c r="B79" s="412" t="s">
        <v>124</v>
      </c>
      <c r="C79" s="66"/>
      <c r="D79" s="322">
        <f t="shared" si="16"/>
        <v>0</v>
      </c>
      <c r="E79" s="502"/>
      <c r="F79" s="518"/>
      <c r="G79" s="518"/>
      <c r="H79" s="518"/>
      <c r="I79" s="518"/>
      <c r="J79" s="414"/>
      <c r="K79" s="502"/>
      <c r="L79" s="518"/>
      <c r="M79" s="518"/>
      <c r="N79" s="518"/>
      <c r="O79" s="518"/>
      <c r="P79" s="414"/>
      <c r="S79" s="247"/>
    </row>
    <row r="80" spans="1:19" x14ac:dyDescent="0.2">
      <c r="A80" s="3" t="s">
        <v>250</v>
      </c>
      <c r="B80" s="412" t="s">
        <v>125</v>
      </c>
      <c r="C80" s="66"/>
      <c r="D80" s="322">
        <f t="shared" si="16"/>
        <v>0</v>
      </c>
      <c r="E80" s="506"/>
      <c r="F80" s="522"/>
      <c r="G80" s="522"/>
      <c r="H80" s="522"/>
      <c r="I80" s="522"/>
      <c r="J80" s="424"/>
      <c r="K80" s="506"/>
      <c r="L80" s="522"/>
      <c r="M80" s="522"/>
      <c r="N80" s="522"/>
      <c r="O80" s="522"/>
      <c r="P80" s="424"/>
      <c r="S80" s="247"/>
    </row>
    <row r="81" spans="1:19" x14ac:dyDescent="0.2">
      <c r="A81" s="3" t="s">
        <v>250</v>
      </c>
      <c r="B81" s="416" t="s">
        <v>128</v>
      </c>
      <c r="C81" s="260"/>
      <c r="D81" s="326">
        <f t="shared" si="16"/>
        <v>0</v>
      </c>
      <c r="E81" s="504">
        <f t="shared" ref="E81:P81" si="17">SUM(E71:E80)</f>
        <v>0</v>
      </c>
      <c r="F81" s="520">
        <f t="shared" si="17"/>
        <v>0</v>
      </c>
      <c r="G81" s="520">
        <f t="shared" si="17"/>
        <v>0</v>
      </c>
      <c r="H81" s="520">
        <f t="shared" si="17"/>
        <v>0</v>
      </c>
      <c r="I81" s="520">
        <f t="shared" si="17"/>
        <v>0</v>
      </c>
      <c r="J81" s="417">
        <f t="shared" si="17"/>
        <v>0</v>
      </c>
      <c r="K81" s="504">
        <f t="shared" si="17"/>
        <v>0</v>
      </c>
      <c r="L81" s="520">
        <f t="shared" si="17"/>
        <v>0</v>
      </c>
      <c r="M81" s="520">
        <f t="shared" si="17"/>
        <v>0</v>
      </c>
      <c r="N81" s="520">
        <f t="shared" si="17"/>
        <v>0</v>
      </c>
      <c r="O81" s="520">
        <f t="shared" si="17"/>
        <v>0</v>
      </c>
      <c r="P81" s="417">
        <f t="shared" si="17"/>
        <v>0</v>
      </c>
      <c r="S81" s="247"/>
    </row>
    <row r="82" spans="1:19" ht="6.95" customHeight="1" x14ac:dyDescent="0.2">
      <c r="A82" s="3" t="s">
        <v>250</v>
      </c>
      <c r="B82" s="406"/>
      <c r="D82" s="324"/>
      <c r="E82" s="505"/>
      <c r="F82" s="521"/>
      <c r="G82" s="534"/>
      <c r="H82" s="534"/>
      <c r="I82" s="534"/>
      <c r="J82" s="418"/>
      <c r="K82" s="540"/>
      <c r="L82" s="534"/>
      <c r="M82" s="534"/>
      <c r="N82" s="534"/>
      <c r="O82" s="534"/>
      <c r="P82" s="418"/>
      <c r="S82" s="247"/>
    </row>
    <row r="83" spans="1:19" x14ac:dyDescent="0.2">
      <c r="A83" s="3" t="s">
        <v>250</v>
      </c>
      <c r="B83" s="410" t="s">
        <v>147</v>
      </c>
      <c r="C83" s="5"/>
      <c r="D83" s="324"/>
      <c r="E83" s="505"/>
      <c r="F83" s="521"/>
      <c r="G83" s="534"/>
      <c r="H83" s="534"/>
      <c r="I83" s="534"/>
      <c r="J83" s="418"/>
      <c r="K83" s="540"/>
      <c r="L83" s="534"/>
      <c r="M83" s="534"/>
      <c r="N83" s="534"/>
      <c r="O83" s="534"/>
      <c r="P83" s="418"/>
      <c r="S83" s="247"/>
    </row>
    <row r="84" spans="1:19" s="6" customFormat="1" x14ac:dyDescent="0.2">
      <c r="A84" s="6" t="s">
        <v>250</v>
      </c>
      <c r="B84" s="412" t="s">
        <v>121</v>
      </c>
      <c r="C84" s="66"/>
      <c r="D84" s="321">
        <f t="shared" ref="D84:D92" si="18">SUM(E84:P84)</f>
        <v>0</v>
      </c>
      <c r="E84" s="501"/>
      <c r="F84" s="517"/>
      <c r="G84" s="517"/>
      <c r="H84" s="517"/>
      <c r="I84" s="517"/>
      <c r="J84" s="413"/>
      <c r="K84" s="501"/>
      <c r="L84" s="517"/>
      <c r="M84" s="517"/>
      <c r="N84" s="517"/>
      <c r="O84" s="517"/>
      <c r="P84" s="413"/>
      <c r="S84" s="247"/>
    </row>
    <row r="85" spans="1:19" s="6" customFormat="1" x14ac:dyDescent="0.2">
      <c r="A85" s="6" t="s">
        <v>250</v>
      </c>
      <c r="B85" s="412" t="s">
        <v>108</v>
      </c>
      <c r="C85" s="66"/>
      <c r="D85" s="322">
        <f t="shared" si="18"/>
        <v>0</v>
      </c>
      <c r="E85" s="502"/>
      <c r="F85" s="518"/>
      <c r="G85" s="518"/>
      <c r="H85" s="518"/>
      <c r="I85" s="518"/>
      <c r="J85" s="414"/>
      <c r="K85" s="502"/>
      <c r="L85" s="518"/>
      <c r="M85" s="518"/>
      <c r="N85" s="518"/>
      <c r="O85" s="518"/>
      <c r="P85" s="414"/>
      <c r="S85" s="247"/>
    </row>
    <row r="86" spans="1:19" s="6" customFormat="1" x14ac:dyDescent="0.2">
      <c r="A86" s="6" t="s">
        <v>250</v>
      </c>
      <c r="B86" s="412" t="s">
        <v>109</v>
      </c>
      <c r="C86" s="66"/>
      <c r="D86" s="322">
        <f t="shared" si="18"/>
        <v>0</v>
      </c>
      <c r="E86" s="502"/>
      <c r="F86" s="518"/>
      <c r="G86" s="518"/>
      <c r="H86" s="518"/>
      <c r="I86" s="518"/>
      <c r="J86" s="414"/>
      <c r="K86" s="502"/>
      <c r="L86" s="518"/>
      <c r="M86" s="518"/>
      <c r="N86" s="518"/>
      <c r="O86" s="518"/>
      <c r="P86" s="414"/>
      <c r="S86" s="247"/>
    </row>
    <row r="87" spans="1:19" s="6" customFormat="1" x14ac:dyDescent="0.2">
      <c r="A87" s="6" t="s">
        <v>250</v>
      </c>
      <c r="B87" s="412" t="s">
        <v>110</v>
      </c>
      <c r="C87" s="66"/>
      <c r="D87" s="322">
        <f t="shared" si="18"/>
        <v>0</v>
      </c>
      <c r="E87" s="502"/>
      <c r="F87" s="518"/>
      <c r="G87" s="518"/>
      <c r="H87" s="518"/>
      <c r="I87" s="518"/>
      <c r="J87" s="414"/>
      <c r="K87" s="502"/>
      <c r="L87" s="518"/>
      <c r="M87" s="518"/>
      <c r="N87" s="518"/>
      <c r="O87" s="518"/>
      <c r="P87" s="414"/>
      <c r="S87" s="247"/>
    </row>
    <row r="88" spans="1:19" s="6" customFormat="1" x14ac:dyDescent="0.2">
      <c r="A88" s="6" t="s">
        <v>250</v>
      </c>
      <c r="B88" s="412" t="s">
        <v>133</v>
      </c>
      <c r="C88" s="66"/>
      <c r="D88" s="322">
        <f t="shared" si="18"/>
        <v>0</v>
      </c>
      <c r="E88" s="502"/>
      <c r="F88" s="518"/>
      <c r="G88" s="518"/>
      <c r="H88" s="518"/>
      <c r="I88" s="518"/>
      <c r="J88" s="414"/>
      <c r="K88" s="502"/>
      <c r="L88" s="518"/>
      <c r="M88" s="518"/>
      <c r="N88" s="518"/>
      <c r="O88" s="518"/>
      <c r="P88" s="414"/>
      <c r="S88" s="247"/>
    </row>
    <row r="89" spans="1:19" s="6" customFormat="1" x14ac:dyDescent="0.2">
      <c r="B89" s="412" t="s">
        <v>156</v>
      </c>
      <c r="C89" s="66"/>
      <c r="D89" s="322">
        <f t="shared" si="18"/>
        <v>0</v>
      </c>
      <c r="E89" s="502"/>
      <c r="F89" s="518"/>
      <c r="G89" s="518"/>
      <c r="H89" s="518"/>
      <c r="I89" s="518"/>
      <c r="J89" s="414"/>
      <c r="K89" s="502"/>
      <c r="L89" s="518"/>
      <c r="M89" s="518"/>
      <c r="N89" s="518"/>
      <c r="O89" s="518"/>
      <c r="P89" s="414"/>
      <c r="S89" s="247"/>
    </row>
    <row r="90" spans="1:19" s="6" customFormat="1" x14ac:dyDescent="0.2">
      <c r="A90" s="6" t="s">
        <v>250</v>
      </c>
      <c r="B90" s="412" t="s">
        <v>123</v>
      </c>
      <c r="C90" s="66"/>
      <c r="D90" s="322">
        <f t="shared" si="18"/>
        <v>0</v>
      </c>
      <c r="E90" s="502"/>
      <c r="F90" s="518"/>
      <c r="G90" s="518"/>
      <c r="H90" s="518"/>
      <c r="I90" s="518"/>
      <c r="J90" s="414"/>
      <c r="K90" s="502"/>
      <c r="L90" s="518"/>
      <c r="M90" s="518"/>
      <c r="N90" s="518"/>
      <c r="O90" s="518"/>
      <c r="P90" s="414"/>
      <c r="S90" s="247"/>
    </row>
    <row r="91" spans="1:19" s="6" customFormat="1" x14ac:dyDescent="0.2">
      <c r="A91" s="6" t="s">
        <v>250</v>
      </c>
      <c r="B91" s="412" t="s">
        <v>126</v>
      </c>
      <c r="C91" s="66"/>
      <c r="D91" s="322">
        <f t="shared" si="18"/>
        <v>0</v>
      </c>
      <c r="E91" s="502"/>
      <c r="F91" s="518"/>
      <c r="G91" s="518"/>
      <c r="H91" s="518"/>
      <c r="I91" s="518"/>
      <c r="J91" s="414"/>
      <c r="K91" s="502"/>
      <c r="L91" s="518"/>
      <c r="M91" s="518"/>
      <c r="N91" s="518"/>
      <c r="O91" s="518"/>
      <c r="P91" s="414"/>
      <c r="S91" s="247"/>
    </row>
    <row r="92" spans="1:19" x14ac:dyDescent="0.2">
      <c r="A92" s="3" t="s">
        <v>250</v>
      </c>
      <c r="B92" s="428" t="s">
        <v>129</v>
      </c>
      <c r="C92" s="261"/>
      <c r="D92" s="326">
        <f t="shared" si="18"/>
        <v>0</v>
      </c>
      <c r="E92" s="504">
        <f t="shared" ref="E92:P92" si="19">SUM(E84:E91)</f>
        <v>0</v>
      </c>
      <c r="F92" s="520">
        <f t="shared" si="19"/>
        <v>0</v>
      </c>
      <c r="G92" s="520">
        <f t="shared" si="19"/>
        <v>0</v>
      </c>
      <c r="H92" s="520">
        <f t="shared" si="19"/>
        <v>0</v>
      </c>
      <c r="I92" s="520">
        <f t="shared" si="19"/>
        <v>0</v>
      </c>
      <c r="J92" s="417">
        <f t="shared" si="19"/>
        <v>0</v>
      </c>
      <c r="K92" s="504">
        <f t="shared" si="19"/>
        <v>0</v>
      </c>
      <c r="L92" s="520">
        <f t="shared" si="19"/>
        <v>0</v>
      </c>
      <c r="M92" s="520">
        <f t="shared" si="19"/>
        <v>0</v>
      </c>
      <c r="N92" s="520">
        <f t="shared" si="19"/>
        <v>0</v>
      </c>
      <c r="O92" s="520">
        <f t="shared" si="19"/>
        <v>0</v>
      </c>
      <c r="P92" s="417">
        <f t="shared" si="19"/>
        <v>0</v>
      </c>
      <c r="S92" s="247"/>
    </row>
    <row r="93" spans="1:19" ht="6.95" customHeight="1" x14ac:dyDescent="0.2">
      <c r="A93" s="3" t="s">
        <v>250</v>
      </c>
      <c r="B93" s="431"/>
      <c r="C93" s="10"/>
      <c r="D93" s="321"/>
      <c r="E93" s="511"/>
      <c r="F93" s="527"/>
      <c r="G93" s="527"/>
      <c r="H93" s="527"/>
      <c r="I93" s="527"/>
      <c r="J93" s="440"/>
      <c r="K93" s="511"/>
      <c r="L93" s="527"/>
      <c r="M93" s="527"/>
      <c r="N93" s="527"/>
      <c r="O93" s="527"/>
      <c r="P93" s="440"/>
      <c r="S93" s="247"/>
    </row>
    <row r="94" spans="1:19" ht="13.5" thickBot="1" x14ac:dyDescent="0.25">
      <c r="A94" s="3" t="s">
        <v>250</v>
      </c>
      <c r="B94" s="445" t="s">
        <v>134</v>
      </c>
      <c r="C94" s="264"/>
      <c r="D94" s="331">
        <f>SUM(E94:P94)</f>
        <v>0</v>
      </c>
      <c r="E94" s="544">
        <f t="shared" ref="E94:P94" si="20">E81+E92</f>
        <v>0</v>
      </c>
      <c r="F94" s="547">
        <f t="shared" si="20"/>
        <v>0</v>
      </c>
      <c r="G94" s="547">
        <f t="shared" si="20"/>
        <v>0</v>
      </c>
      <c r="H94" s="547">
        <f t="shared" si="20"/>
        <v>0</v>
      </c>
      <c r="I94" s="547">
        <f t="shared" si="20"/>
        <v>0</v>
      </c>
      <c r="J94" s="446">
        <f t="shared" si="20"/>
        <v>0</v>
      </c>
      <c r="K94" s="544">
        <f t="shared" si="20"/>
        <v>0</v>
      </c>
      <c r="L94" s="547">
        <f t="shared" si="20"/>
        <v>0</v>
      </c>
      <c r="M94" s="547">
        <f t="shared" si="20"/>
        <v>0</v>
      </c>
      <c r="N94" s="547">
        <f t="shared" si="20"/>
        <v>0</v>
      </c>
      <c r="O94" s="547">
        <f t="shared" si="20"/>
        <v>0</v>
      </c>
      <c r="P94" s="446">
        <f t="shared" si="20"/>
        <v>0</v>
      </c>
      <c r="S94" s="247"/>
    </row>
    <row r="95" spans="1:19" ht="6.95" customHeight="1" thickTop="1" x14ac:dyDescent="0.2">
      <c r="A95" s="3" t="s">
        <v>250</v>
      </c>
      <c r="B95" s="431"/>
      <c r="C95" s="10"/>
      <c r="D95" s="325"/>
      <c r="E95" s="508"/>
      <c r="F95" s="524"/>
      <c r="G95" s="524"/>
      <c r="H95" s="524"/>
      <c r="I95" s="524"/>
      <c r="J95" s="432"/>
      <c r="K95" s="508"/>
      <c r="L95" s="524"/>
      <c r="M95" s="524"/>
      <c r="N95" s="524"/>
      <c r="O95" s="524"/>
      <c r="P95" s="432"/>
      <c r="S95" s="247"/>
    </row>
    <row r="96" spans="1:19" s="13" customFormat="1" ht="12" customHeight="1" thickBot="1" x14ac:dyDescent="0.25">
      <c r="A96" s="67" t="s">
        <v>250</v>
      </c>
      <c r="B96" s="433" t="s">
        <v>244</v>
      </c>
      <c r="C96" s="263"/>
      <c r="D96" s="328">
        <f>D68-D94</f>
        <v>0</v>
      </c>
      <c r="E96" s="509">
        <f t="shared" ref="E96:P96" si="21">E68-E94</f>
        <v>0</v>
      </c>
      <c r="F96" s="525">
        <f t="shared" si="21"/>
        <v>0</v>
      </c>
      <c r="G96" s="525">
        <f t="shared" si="21"/>
        <v>0</v>
      </c>
      <c r="H96" s="525">
        <f t="shared" si="21"/>
        <v>0</v>
      </c>
      <c r="I96" s="525">
        <f t="shared" si="21"/>
        <v>0</v>
      </c>
      <c r="J96" s="434">
        <f t="shared" si="21"/>
        <v>0</v>
      </c>
      <c r="K96" s="509">
        <f t="shared" si="21"/>
        <v>0</v>
      </c>
      <c r="L96" s="525">
        <f t="shared" si="21"/>
        <v>0</v>
      </c>
      <c r="M96" s="525">
        <f t="shared" si="21"/>
        <v>0</v>
      </c>
      <c r="N96" s="525">
        <f t="shared" si="21"/>
        <v>0</v>
      </c>
      <c r="O96" s="525">
        <f t="shared" si="21"/>
        <v>0</v>
      </c>
      <c r="P96" s="434">
        <f t="shared" si="21"/>
        <v>0</v>
      </c>
      <c r="S96" s="247"/>
    </row>
    <row r="97" spans="1:19" ht="5.0999999999999996" customHeight="1" thickTop="1" x14ac:dyDescent="0.2">
      <c r="A97" s="3" t="s">
        <v>250</v>
      </c>
      <c r="B97" s="435"/>
      <c r="C97" s="13"/>
      <c r="D97" s="324"/>
      <c r="E97" s="508"/>
      <c r="F97" s="524"/>
      <c r="G97" s="535"/>
      <c r="H97" s="535"/>
      <c r="I97" s="535"/>
      <c r="J97" s="443"/>
      <c r="K97" s="541"/>
      <c r="L97" s="535"/>
      <c r="M97" s="535"/>
      <c r="N97" s="535"/>
      <c r="O97" s="535"/>
      <c r="P97" s="443"/>
      <c r="S97" s="247"/>
    </row>
    <row r="98" spans="1:19" ht="12" customHeight="1" x14ac:dyDescent="0.2">
      <c r="A98" s="67"/>
      <c r="B98" s="435" t="s">
        <v>237</v>
      </c>
      <c r="C98" s="13"/>
      <c r="D98" s="324"/>
      <c r="E98" s="508"/>
      <c r="F98" s="524"/>
      <c r="G98" s="535"/>
      <c r="H98" s="535"/>
      <c r="I98" s="535"/>
      <c r="J98" s="443"/>
      <c r="K98" s="541"/>
      <c r="L98" s="535"/>
      <c r="M98" s="535"/>
      <c r="N98" s="535"/>
      <c r="O98" s="535"/>
      <c r="P98" s="443"/>
      <c r="S98" s="247"/>
    </row>
    <row r="99" spans="1:19" ht="12" customHeight="1" x14ac:dyDescent="0.2">
      <c r="A99" s="67"/>
      <c r="B99" s="436" t="s">
        <v>231</v>
      </c>
      <c r="C99" s="258"/>
      <c r="D99" s="321">
        <f>SUM(E99:P99)</f>
        <v>0</v>
      </c>
      <c r="E99" s="510"/>
      <c r="F99" s="526"/>
      <c r="G99" s="526"/>
      <c r="H99" s="526"/>
      <c r="I99" s="526"/>
      <c r="J99" s="437"/>
      <c r="K99" s="510"/>
      <c r="L99" s="526"/>
      <c r="M99" s="526"/>
      <c r="N99" s="526"/>
      <c r="O99" s="526"/>
      <c r="P99" s="437"/>
      <c r="S99" s="247"/>
    </row>
    <row r="100" spans="1:19" ht="12" customHeight="1" x14ac:dyDescent="0.2">
      <c r="A100" s="67"/>
      <c r="B100" s="438" t="s">
        <v>262</v>
      </c>
      <c r="C100" s="258"/>
      <c r="D100" s="321">
        <f t="shared" ref="D100:D101" si="22">SUM(E100:P100)</f>
        <v>0</v>
      </c>
      <c r="E100" s="510"/>
      <c r="F100" s="526"/>
      <c r="G100" s="526"/>
      <c r="H100" s="526"/>
      <c r="I100" s="526"/>
      <c r="J100" s="437"/>
      <c r="K100" s="510"/>
      <c r="L100" s="526"/>
      <c r="M100" s="526"/>
      <c r="N100" s="526"/>
      <c r="O100" s="526"/>
      <c r="P100" s="437"/>
      <c r="S100" s="247"/>
    </row>
    <row r="101" spans="1:19" ht="12" customHeight="1" x14ac:dyDescent="0.2">
      <c r="A101" s="67"/>
      <c r="B101" s="438" t="s">
        <v>263</v>
      </c>
      <c r="C101" s="258"/>
      <c r="D101" s="321">
        <f t="shared" si="22"/>
        <v>0</v>
      </c>
      <c r="E101" s="510"/>
      <c r="F101" s="526"/>
      <c r="G101" s="526"/>
      <c r="H101" s="526"/>
      <c r="I101" s="526"/>
      <c r="J101" s="437"/>
      <c r="K101" s="510"/>
      <c r="L101" s="526"/>
      <c r="M101" s="526"/>
      <c r="N101" s="526"/>
      <c r="O101" s="526"/>
      <c r="P101" s="437"/>
      <c r="S101" s="247"/>
    </row>
    <row r="102" spans="1:19" ht="12" customHeight="1" x14ac:dyDescent="0.2">
      <c r="A102" s="3" t="s">
        <v>250</v>
      </c>
      <c r="B102" s="439" t="s">
        <v>238</v>
      </c>
      <c r="C102" s="259"/>
      <c r="D102" s="322">
        <f>SUM(E102:P102)</f>
        <v>0</v>
      </c>
      <c r="E102" s="502"/>
      <c r="F102" s="518"/>
      <c r="G102" s="518"/>
      <c r="H102" s="518"/>
      <c r="I102" s="518"/>
      <c r="J102" s="414"/>
      <c r="K102" s="502"/>
      <c r="L102" s="518"/>
      <c r="M102" s="518"/>
      <c r="N102" s="518"/>
      <c r="O102" s="518"/>
      <c r="P102" s="414"/>
      <c r="S102" s="247"/>
    </row>
    <row r="103" spans="1:19" ht="12" customHeight="1" x14ac:dyDescent="0.2">
      <c r="B103" s="436" t="s">
        <v>323</v>
      </c>
      <c r="C103" s="259"/>
      <c r="D103" s="322">
        <f>SUM(E103:P103)</f>
        <v>0</v>
      </c>
      <c r="E103" s="502"/>
      <c r="F103" s="518"/>
      <c r="G103" s="518"/>
      <c r="H103" s="518"/>
      <c r="I103" s="518"/>
      <c r="J103" s="414"/>
      <c r="K103" s="502"/>
      <c r="L103" s="518"/>
      <c r="M103" s="518"/>
      <c r="N103" s="518"/>
      <c r="O103" s="518"/>
      <c r="P103" s="414"/>
      <c r="S103" s="247"/>
    </row>
    <row r="104" spans="1:19" ht="5.0999999999999996" customHeight="1" x14ac:dyDescent="0.2">
      <c r="A104" s="3" t="s">
        <v>250</v>
      </c>
      <c r="B104" s="435"/>
      <c r="C104" s="13"/>
      <c r="D104" s="324"/>
      <c r="E104" s="508"/>
      <c r="F104" s="524"/>
      <c r="G104" s="535"/>
      <c r="H104" s="535"/>
      <c r="I104" s="535"/>
      <c r="J104" s="443"/>
      <c r="K104" s="541"/>
      <c r="L104" s="535"/>
      <c r="M104" s="535"/>
      <c r="N104" s="535"/>
      <c r="O104" s="535"/>
      <c r="P104" s="443"/>
      <c r="S104" s="247"/>
    </row>
    <row r="105" spans="1:19" x14ac:dyDescent="0.2">
      <c r="A105" s="67"/>
      <c r="B105" s="441" t="s">
        <v>245</v>
      </c>
      <c r="C105" s="276"/>
      <c r="D105" s="332">
        <f>D68-D94-D66+D88-D99+D102+D100-D101</f>
        <v>0</v>
      </c>
      <c r="E105" s="545">
        <f>E68-E94-E66+E88-E99+E102+E100-E101</f>
        <v>0</v>
      </c>
      <c r="F105" s="548">
        <f t="shared" ref="F105:P105" si="23">F68-F94-F66+F88-F99+F102+F100-F101</f>
        <v>0</v>
      </c>
      <c r="G105" s="548">
        <f t="shared" si="23"/>
        <v>0</v>
      </c>
      <c r="H105" s="548">
        <f t="shared" si="23"/>
        <v>0</v>
      </c>
      <c r="I105" s="548">
        <f t="shared" si="23"/>
        <v>0</v>
      </c>
      <c r="J105" s="447">
        <f t="shared" si="23"/>
        <v>0</v>
      </c>
      <c r="K105" s="545">
        <f t="shared" si="23"/>
        <v>0</v>
      </c>
      <c r="L105" s="548">
        <f t="shared" si="23"/>
        <v>0</v>
      </c>
      <c r="M105" s="548">
        <f t="shared" si="23"/>
        <v>0</v>
      </c>
      <c r="N105" s="548">
        <f t="shared" si="23"/>
        <v>0</v>
      </c>
      <c r="O105" s="548">
        <f t="shared" si="23"/>
        <v>0</v>
      </c>
      <c r="P105" s="447">
        <f t="shared" si="23"/>
        <v>0</v>
      </c>
      <c r="S105" s="247"/>
    </row>
    <row r="106" spans="1:19" ht="5.0999999999999996" customHeight="1" x14ac:dyDescent="0.2">
      <c r="A106" s="3" t="s">
        <v>250</v>
      </c>
      <c r="B106" s="435"/>
      <c r="C106" s="13"/>
      <c r="D106" s="324"/>
      <c r="E106" s="508"/>
      <c r="F106" s="524"/>
      <c r="G106" s="535"/>
      <c r="H106" s="535"/>
      <c r="I106" s="535"/>
      <c r="J106" s="443"/>
      <c r="K106" s="541"/>
      <c r="L106" s="535"/>
      <c r="M106" s="535"/>
      <c r="N106" s="535"/>
      <c r="O106" s="535"/>
      <c r="P106" s="443"/>
      <c r="S106" s="247"/>
    </row>
    <row r="107" spans="1:19" ht="12" customHeight="1" thickBot="1" x14ac:dyDescent="0.25">
      <c r="A107" s="3" t="s">
        <v>250</v>
      </c>
      <c r="B107" s="454" t="s">
        <v>248</v>
      </c>
      <c r="C107" s="455"/>
      <c r="D107" s="456"/>
      <c r="E107" s="513">
        <f>E105</f>
        <v>0</v>
      </c>
      <c r="F107" s="529">
        <f>E107+F105</f>
        <v>0</v>
      </c>
      <c r="G107" s="529">
        <f t="shared" ref="G107:P107" si="24">F107+G105</f>
        <v>0</v>
      </c>
      <c r="H107" s="529">
        <f t="shared" si="24"/>
        <v>0</v>
      </c>
      <c r="I107" s="529">
        <f t="shared" si="24"/>
        <v>0</v>
      </c>
      <c r="J107" s="457">
        <f t="shared" si="24"/>
        <v>0</v>
      </c>
      <c r="K107" s="513">
        <f t="shared" si="24"/>
        <v>0</v>
      </c>
      <c r="L107" s="529">
        <f t="shared" si="24"/>
        <v>0</v>
      </c>
      <c r="M107" s="529">
        <f t="shared" si="24"/>
        <v>0</v>
      </c>
      <c r="N107" s="529">
        <f t="shared" si="24"/>
        <v>0</v>
      </c>
      <c r="O107" s="529">
        <f t="shared" si="24"/>
        <v>0</v>
      </c>
      <c r="P107" s="457">
        <f t="shared" si="24"/>
        <v>0</v>
      </c>
      <c r="S107" s="247"/>
    </row>
    <row r="108" spans="1:19" x14ac:dyDescent="0.2">
      <c r="A108" s="3" t="s">
        <v>250</v>
      </c>
      <c r="D108" s="324"/>
      <c r="E108" s="337"/>
      <c r="F108" s="337"/>
      <c r="G108" s="338"/>
      <c r="H108" s="338"/>
      <c r="I108" s="338"/>
      <c r="J108" s="338"/>
      <c r="K108" s="338"/>
      <c r="L108" s="338"/>
      <c r="M108" s="338"/>
      <c r="N108" s="338"/>
      <c r="O108" s="338"/>
      <c r="P108" s="338"/>
      <c r="S108" s="247"/>
    </row>
    <row r="109" spans="1:19" ht="3.95" hidden="1" customHeight="1" x14ac:dyDescent="0.2">
      <c r="A109" s="3" t="s">
        <v>251</v>
      </c>
      <c r="D109" s="321"/>
      <c r="E109" s="337"/>
      <c r="F109" s="337"/>
      <c r="G109" s="337"/>
      <c r="H109" s="337"/>
      <c r="I109" s="337"/>
      <c r="J109" s="337"/>
      <c r="K109" s="337"/>
      <c r="L109" s="337"/>
      <c r="M109" s="337"/>
      <c r="N109" s="337"/>
      <c r="O109" s="337"/>
      <c r="P109" s="337"/>
      <c r="S109" s="247"/>
    </row>
    <row r="110" spans="1:19" ht="13.5" thickBot="1" x14ac:dyDescent="0.25">
      <c r="D110" s="324"/>
      <c r="E110" s="337"/>
      <c r="F110" s="337"/>
      <c r="G110" s="338"/>
      <c r="H110" s="338"/>
      <c r="I110" s="338"/>
      <c r="J110" s="338"/>
      <c r="K110" s="338"/>
      <c r="L110" s="338"/>
      <c r="M110" s="338"/>
      <c r="N110" s="338"/>
      <c r="O110" s="338"/>
      <c r="P110" s="338"/>
    </row>
    <row r="111" spans="1:19" s="50" customFormat="1" ht="15" x14ac:dyDescent="0.2">
      <c r="B111" s="458" t="s">
        <v>264</v>
      </c>
      <c r="C111" s="459"/>
      <c r="D111" s="460" t="s">
        <v>30</v>
      </c>
      <c r="E111" s="551" t="s">
        <v>19</v>
      </c>
      <c r="F111" s="550" t="s">
        <v>20</v>
      </c>
      <c r="G111" s="550" t="s">
        <v>21</v>
      </c>
      <c r="H111" s="550" t="s">
        <v>22</v>
      </c>
      <c r="I111" s="550" t="s">
        <v>18</v>
      </c>
      <c r="J111" s="461" t="s">
        <v>23</v>
      </c>
      <c r="K111" s="561" t="s">
        <v>24</v>
      </c>
      <c r="L111" s="550" t="s">
        <v>25</v>
      </c>
      <c r="M111" s="550" t="s">
        <v>26</v>
      </c>
      <c r="N111" s="550" t="s">
        <v>27</v>
      </c>
      <c r="O111" s="550" t="s">
        <v>28</v>
      </c>
      <c r="P111" s="461" t="s">
        <v>29</v>
      </c>
    </row>
    <row r="112" spans="1:19" ht="12" customHeight="1" x14ac:dyDescent="0.2">
      <c r="B112" s="435" t="s">
        <v>265</v>
      </c>
      <c r="C112" s="13"/>
      <c r="D112" s="324"/>
      <c r="E112" s="543"/>
      <c r="F112" s="555"/>
      <c r="G112" s="546"/>
      <c r="H112" s="546"/>
      <c r="I112" s="546"/>
      <c r="J112" s="444"/>
      <c r="K112" s="549"/>
      <c r="L112" s="546"/>
      <c r="M112" s="546"/>
      <c r="N112" s="546"/>
      <c r="O112" s="546"/>
      <c r="P112" s="444"/>
    </row>
    <row r="113" spans="2:16" x14ac:dyDescent="0.2">
      <c r="B113" s="448" t="s">
        <v>31</v>
      </c>
      <c r="C113" s="253"/>
      <c r="D113" s="321">
        <f>SUM(E113:P113)</f>
        <v>0</v>
      </c>
      <c r="E113" s="501"/>
      <c r="F113" s="517"/>
      <c r="G113" s="517"/>
      <c r="H113" s="517"/>
      <c r="I113" s="517"/>
      <c r="J113" s="413"/>
      <c r="K113" s="501"/>
      <c r="L113" s="517"/>
      <c r="M113" s="517"/>
      <c r="N113" s="517"/>
      <c r="O113" s="517"/>
      <c r="P113" s="413"/>
    </row>
    <row r="114" spans="2:16" x14ac:dyDescent="0.2">
      <c r="B114" s="439" t="s">
        <v>259</v>
      </c>
      <c r="C114" s="254"/>
      <c r="D114" s="322">
        <f>SUM(E114:P114)</f>
        <v>0</v>
      </c>
      <c r="E114" s="502"/>
      <c r="F114" s="518"/>
      <c r="G114" s="518"/>
      <c r="H114" s="518"/>
      <c r="I114" s="518"/>
      <c r="J114" s="414"/>
      <c r="K114" s="502"/>
      <c r="L114" s="518"/>
      <c r="M114" s="518"/>
      <c r="N114" s="518"/>
      <c r="O114" s="518"/>
      <c r="P114" s="414"/>
    </row>
    <row r="115" spans="2:16" x14ac:dyDescent="0.2">
      <c r="B115" s="436" t="s">
        <v>258</v>
      </c>
      <c r="C115" s="258"/>
      <c r="D115" s="322">
        <f>SUM(E115:P115)</f>
        <v>0</v>
      </c>
      <c r="E115" s="502"/>
      <c r="F115" s="518"/>
      <c r="G115" s="518"/>
      <c r="H115" s="518"/>
      <c r="I115" s="518"/>
      <c r="J115" s="414"/>
      <c r="K115" s="502"/>
      <c r="L115" s="518"/>
      <c r="M115" s="518"/>
      <c r="N115" s="518"/>
      <c r="O115" s="518"/>
      <c r="P115" s="414"/>
    </row>
    <row r="116" spans="2:16" x14ac:dyDescent="0.2">
      <c r="B116" s="448" t="s">
        <v>1</v>
      </c>
      <c r="C116" s="253"/>
      <c r="D116" s="322">
        <f>SUM(E116:P116)</f>
        <v>0</v>
      </c>
      <c r="E116" s="502"/>
      <c r="F116" s="518"/>
      <c r="G116" s="518"/>
      <c r="H116" s="518"/>
      <c r="I116" s="518"/>
      <c r="J116" s="414"/>
      <c r="K116" s="502"/>
      <c r="L116" s="518"/>
      <c r="M116" s="518"/>
      <c r="N116" s="518"/>
      <c r="O116" s="518"/>
      <c r="P116" s="414"/>
    </row>
    <row r="117" spans="2:16" x14ac:dyDescent="0.2">
      <c r="B117" s="416" t="s">
        <v>271</v>
      </c>
      <c r="C117" s="260"/>
      <c r="D117" s="323">
        <f>SUM(D113:D116)</f>
        <v>0</v>
      </c>
      <c r="E117" s="504">
        <f t="shared" ref="E117:P117" si="25">SUM(E113:E116)</f>
        <v>0</v>
      </c>
      <c r="F117" s="520">
        <f t="shared" si="25"/>
        <v>0</v>
      </c>
      <c r="G117" s="520">
        <f t="shared" si="25"/>
        <v>0</v>
      </c>
      <c r="H117" s="520">
        <f t="shared" si="25"/>
        <v>0</v>
      </c>
      <c r="I117" s="520">
        <f t="shared" si="25"/>
        <v>0</v>
      </c>
      <c r="J117" s="417">
        <f t="shared" si="25"/>
        <v>0</v>
      </c>
      <c r="K117" s="504">
        <f t="shared" si="25"/>
        <v>0</v>
      </c>
      <c r="L117" s="520">
        <f t="shared" si="25"/>
        <v>0</v>
      </c>
      <c r="M117" s="520">
        <f t="shared" si="25"/>
        <v>0</v>
      </c>
      <c r="N117" s="520">
        <f t="shared" si="25"/>
        <v>0</v>
      </c>
      <c r="O117" s="520">
        <f t="shared" si="25"/>
        <v>0</v>
      </c>
      <c r="P117" s="417">
        <f t="shared" si="25"/>
        <v>0</v>
      </c>
    </row>
    <row r="118" spans="2:16" ht="2.25" customHeight="1" x14ac:dyDescent="0.2">
      <c r="B118" s="406"/>
      <c r="D118" s="324"/>
      <c r="E118" s="505"/>
      <c r="F118" s="521"/>
      <c r="G118" s="534"/>
      <c r="H118" s="534"/>
      <c r="I118" s="534"/>
      <c r="J118" s="418"/>
      <c r="K118" s="540"/>
      <c r="L118" s="534"/>
      <c r="M118" s="534"/>
      <c r="N118" s="534"/>
      <c r="O118" s="534"/>
      <c r="P118" s="418"/>
    </row>
    <row r="119" spans="2:16" ht="12" customHeight="1" x14ac:dyDescent="0.2">
      <c r="B119" s="435" t="s">
        <v>266</v>
      </c>
      <c r="C119" s="13"/>
      <c r="D119" s="324"/>
      <c r="E119" s="505"/>
      <c r="F119" s="521"/>
      <c r="G119" s="534"/>
      <c r="H119" s="534"/>
      <c r="I119" s="534"/>
      <c r="J119" s="418"/>
      <c r="K119" s="540"/>
      <c r="L119" s="534"/>
      <c r="M119" s="534"/>
      <c r="N119" s="534"/>
      <c r="O119" s="534"/>
      <c r="P119" s="418"/>
    </row>
    <row r="120" spans="2:16" x14ac:dyDescent="0.2">
      <c r="B120" s="426" t="s">
        <v>273</v>
      </c>
      <c r="C120" s="52"/>
      <c r="D120" s="321">
        <f t="shared" ref="D120:D144" si="26">SUM(E120:P120)</f>
        <v>0</v>
      </c>
      <c r="E120" s="501"/>
      <c r="F120" s="517"/>
      <c r="G120" s="517"/>
      <c r="H120" s="517"/>
      <c r="I120" s="517"/>
      <c r="J120" s="413"/>
      <c r="K120" s="501"/>
      <c r="L120" s="517"/>
      <c r="M120" s="517"/>
      <c r="N120" s="517"/>
      <c r="O120" s="517"/>
      <c r="P120" s="413"/>
    </row>
    <row r="121" spans="2:16" x14ac:dyDescent="0.2">
      <c r="B121" s="426" t="s">
        <v>274</v>
      </c>
      <c r="C121" s="59"/>
      <c r="D121" s="322">
        <f t="shared" si="26"/>
        <v>0</v>
      </c>
      <c r="E121" s="502"/>
      <c r="F121" s="518"/>
      <c r="G121" s="518"/>
      <c r="H121" s="518"/>
      <c r="I121" s="518"/>
      <c r="J121" s="414"/>
      <c r="K121" s="502"/>
      <c r="L121" s="518"/>
      <c r="M121" s="518"/>
      <c r="N121" s="518"/>
      <c r="O121" s="518"/>
      <c r="P121" s="414"/>
    </row>
    <row r="122" spans="2:16" s="6" customFormat="1" x14ac:dyDescent="0.2">
      <c r="B122" s="426" t="s">
        <v>275</v>
      </c>
      <c r="C122" s="59"/>
      <c r="D122" s="322">
        <f t="shared" si="26"/>
        <v>0</v>
      </c>
      <c r="E122" s="502"/>
      <c r="F122" s="518"/>
      <c r="G122" s="518"/>
      <c r="H122" s="518"/>
      <c r="I122" s="518"/>
      <c r="J122" s="414"/>
      <c r="K122" s="502"/>
      <c r="L122" s="518"/>
      <c r="M122" s="518"/>
      <c r="N122" s="518"/>
      <c r="O122" s="518"/>
      <c r="P122" s="414"/>
    </row>
    <row r="123" spans="2:16" x14ac:dyDescent="0.2">
      <c r="B123" s="426" t="s">
        <v>270</v>
      </c>
      <c r="C123" s="59"/>
      <c r="D123" s="322">
        <f t="shared" si="26"/>
        <v>0</v>
      </c>
      <c r="E123" s="502"/>
      <c r="F123" s="518"/>
      <c r="G123" s="518"/>
      <c r="H123" s="518"/>
      <c r="I123" s="518"/>
      <c r="J123" s="414"/>
      <c r="K123" s="502"/>
      <c r="L123" s="518"/>
      <c r="M123" s="518"/>
      <c r="N123" s="518"/>
      <c r="O123" s="518"/>
      <c r="P123" s="414"/>
    </row>
    <row r="124" spans="2:16" x14ac:dyDescent="0.2">
      <c r="B124" s="426" t="s">
        <v>284</v>
      </c>
      <c r="C124" s="59"/>
      <c r="D124" s="322">
        <f t="shared" si="26"/>
        <v>0</v>
      </c>
      <c r="E124" s="502"/>
      <c r="F124" s="518"/>
      <c r="G124" s="518"/>
      <c r="H124" s="518"/>
      <c r="I124" s="518"/>
      <c r="J124" s="414"/>
      <c r="K124" s="502"/>
      <c r="L124" s="518"/>
      <c r="M124" s="518"/>
      <c r="N124" s="518"/>
      <c r="O124" s="518"/>
      <c r="P124" s="414"/>
    </row>
    <row r="125" spans="2:16" x14ac:dyDescent="0.2">
      <c r="B125" s="426" t="s">
        <v>269</v>
      </c>
      <c r="C125" s="59"/>
      <c r="D125" s="322">
        <f t="shared" si="26"/>
        <v>0</v>
      </c>
      <c r="E125" s="502"/>
      <c r="F125" s="518"/>
      <c r="G125" s="518"/>
      <c r="H125" s="518"/>
      <c r="I125" s="518"/>
      <c r="J125" s="414"/>
      <c r="K125" s="502"/>
      <c r="L125" s="518"/>
      <c r="M125" s="518"/>
      <c r="N125" s="518"/>
      <c r="O125" s="518"/>
      <c r="P125" s="414"/>
    </row>
    <row r="126" spans="2:16" x14ac:dyDescent="0.2">
      <c r="B126" s="426" t="s">
        <v>276</v>
      </c>
      <c r="C126" s="59"/>
      <c r="D126" s="322">
        <f t="shared" si="26"/>
        <v>0</v>
      </c>
      <c r="E126" s="502"/>
      <c r="F126" s="518"/>
      <c r="G126" s="518"/>
      <c r="H126" s="518"/>
      <c r="I126" s="518"/>
      <c r="J126" s="414"/>
      <c r="K126" s="502"/>
      <c r="L126" s="518"/>
      <c r="M126" s="518"/>
      <c r="N126" s="518"/>
      <c r="O126" s="518"/>
      <c r="P126" s="414"/>
    </row>
    <row r="127" spans="2:16" x14ac:dyDescent="0.2">
      <c r="B127" s="426" t="s">
        <v>277</v>
      </c>
      <c r="C127" s="59"/>
      <c r="D127" s="322">
        <f t="shared" si="26"/>
        <v>0</v>
      </c>
      <c r="E127" s="502"/>
      <c r="F127" s="518"/>
      <c r="G127" s="518"/>
      <c r="H127" s="518"/>
      <c r="I127" s="518"/>
      <c r="J127" s="414"/>
      <c r="K127" s="502"/>
      <c r="L127" s="518"/>
      <c r="M127" s="518"/>
      <c r="N127" s="518"/>
      <c r="O127" s="518"/>
      <c r="P127" s="414"/>
    </row>
    <row r="128" spans="2:16" x14ac:dyDescent="0.2">
      <c r="B128" s="426" t="s">
        <v>278</v>
      </c>
      <c r="C128" s="59"/>
      <c r="D128" s="322">
        <f t="shared" si="26"/>
        <v>0</v>
      </c>
      <c r="E128" s="502"/>
      <c r="F128" s="518"/>
      <c r="G128" s="518"/>
      <c r="H128" s="518"/>
      <c r="I128" s="518"/>
      <c r="J128" s="414"/>
      <c r="K128" s="502"/>
      <c r="L128" s="518"/>
      <c r="M128" s="518"/>
      <c r="N128" s="518"/>
      <c r="O128" s="518"/>
      <c r="P128" s="414"/>
    </row>
    <row r="129" spans="2:16" x14ac:dyDescent="0.2">
      <c r="B129" s="426" t="s">
        <v>279</v>
      </c>
      <c r="C129" s="59"/>
      <c r="D129" s="322">
        <f t="shared" si="26"/>
        <v>0</v>
      </c>
      <c r="E129" s="502"/>
      <c r="F129" s="518"/>
      <c r="G129" s="518"/>
      <c r="H129" s="518"/>
      <c r="I129" s="518"/>
      <c r="J129" s="414"/>
      <c r="K129" s="502"/>
      <c r="L129" s="518"/>
      <c r="M129" s="518"/>
      <c r="N129" s="518"/>
      <c r="O129" s="518"/>
      <c r="P129" s="414"/>
    </row>
    <row r="130" spans="2:16" x14ac:dyDescent="0.2">
      <c r="B130" s="422" t="s">
        <v>15</v>
      </c>
      <c r="C130" s="59"/>
      <c r="D130" s="322">
        <f t="shared" si="26"/>
        <v>0</v>
      </c>
      <c r="E130" s="502"/>
      <c r="F130" s="518"/>
      <c r="G130" s="518"/>
      <c r="H130" s="518"/>
      <c r="I130" s="518"/>
      <c r="J130" s="414"/>
      <c r="K130" s="502"/>
      <c r="L130" s="518"/>
      <c r="M130" s="518"/>
      <c r="N130" s="518"/>
      <c r="O130" s="518"/>
      <c r="P130" s="414"/>
    </row>
    <row r="131" spans="2:16" x14ac:dyDescent="0.2">
      <c r="B131" s="426" t="s">
        <v>267</v>
      </c>
      <c r="C131" s="59"/>
      <c r="D131" s="322">
        <f t="shared" si="26"/>
        <v>0</v>
      </c>
      <c r="E131" s="502"/>
      <c r="F131" s="518"/>
      <c r="G131" s="518"/>
      <c r="H131" s="518"/>
      <c r="I131" s="518"/>
      <c r="J131" s="414"/>
      <c r="K131" s="502"/>
      <c r="L131" s="518"/>
      <c r="M131" s="518"/>
      <c r="N131" s="518"/>
      <c r="O131" s="518"/>
      <c r="P131" s="414"/>
    </row>
    <row r="132" spans="2:16" x14ac:dyDescent="0.2">
      <c r="B132" s="426" t="s">
        <v>280</v>
      </c>
      <c r="C132" s="59"/>
      <c r="D132" s="322">
        <f t="shared" si="26"/>
        <v>0</v>
      </c>
      <c r="E132" s="502"/>
      <c r="F132" s="518"/>
      <c r="G132" s="518"/>
      <c r="H132" s="518"/>
      <c r="I132" s="518"/>
      <c r="J132" s="414"/>
      <c r="K132" s="502"/>
      <c r="L132" s="518"/>
      <c r="M132" s="518"/>
      <c r="N132" s="518"/>
      <c r="O132" s="518"/>
      <c r="P132" s="414"/>
    </row>
    <row r="133" spans="2:16" x14ac:dyDescent="0.2">
      <c r="B133" s="426" t="s">
        <v>95</v>
      </c>
      <c r="C133" s="59"/>
      <c r="D133" s="322">
        <f t="shared" si="26"/>
        <v>0</v>
      </c>
      <c r="E133" s="502"/>
      <c r="F133" s="518"/>
      <c r="G133" s="518"/>
      <c r="H133" s="518"/>
      <c r="I133" s="518"/>
      <c r="J133" s="414"/>
      <c r="K133" s="502"/>
      <c r="L133" s="518"/>
      <c r="M133" s="518"/>
      <c r="N133" s="518"/>
      <c r="O133" s="518"/>
      <c r="P133" s="414"/>
    </row>
    <row r="134" spans="2:16" x14ac:dyDescent="0.2">
      <c r="B134" s="426" t="s">
        <v>281</v>
      </c>
      <c r="C134" s="52"/>
      <c r="D134" s="322">
        <f t="shared" si="26"/>
        <v>0</v>
      </c>
      <c r="E134" s="502"/>
      <c r="F134" s="518"/>
      <c r="G134" s="518"/>
      <c r="H134" s="518"/>
      <c r="I134" s="518"/>
      <c r="J134" s="414"/>
      <c r="K134" s="502"/>
      <c r="L134" s="518"/>
      <c r="M134" s="518"/>
      <c r="N134" s="518"/>
      <c r="O134" s="518"/>
      <c r="P134" s="414"/>
    </row>
    <row r="135" spans="2:16" x14ac:dyDescent="0.2">
      <c r="B135" s="449" t="s">
        <v>99</v>
      </c>
      <c r="C135" s="59"/>
      <c r="D135" s="322">
        <f t="shared" si="26"/>
        <v>0</v>
      </c>
      <c r="E135" s="502"/>
      <c r="F135" s="518"/>
      <c r="G135" s="518"/>
      <c r="H135" s="518"/>
      <c r="I135" s="518"/>
      <c r="J135" s="414"/>
      <c r="K135" s="502"/>
      <c r="L135" s="518"/>
      <c r="M135" s="518"/>
      <c r="N135" s="518"/>
      <c r="O135" s="518"/>
      <c r="P135" s="414"/>
    </row>
    <row r="136" spans="2:16" x14ac:dyDescent="0.2">
      <c r="B136" s="449" t="s">
        <v>98</v>
      </c>
      <c r="C136" s="59"/>
      <c r="D136" s="322">
        <f t="shared" si="26"/>
        <v>0</v>
      </c>
      <c r="E136" s="502"/>
      <c r="F136" s="518"/>
      <c r="G136" s="518"/>
      <c r="H136" s="518"/>
      <c r="I136" s="518"/>
      <c r="J136" s="414"/>
      <c r="K136" s="502"/>
      <c r="L136" s="518"/>
      <c r="M136" s="518"/>
      <c r="N136" s="518"/>
      <c r="O136" s="518"/>
      <c r="P136" s="414"/>
    </row>
    <row r="137" spans="2:16" x14ac:dyDescent="0.2">
      <c r="B137" s="426" t="s">
        <v>268</v>
      </c>
      <c r="C137" s="59"/>
      <c r="D137" s="322">
        <f t="shared" si="26"/>
        <v>0</v>
      </c>
      <c r="E137" s="502"/>
      <c r="F137" s="518"/>
      <c r="G137" s="518"/>
      <c r="H137" s="518"/>
      <c r="I137" s="518"/>
      <c r="J137" s="414"/>
      <c r="K137" s="502"/>
      <c r="L137" s="518"/>
      <c r="M137" s="518"/>
      <c r="N137" s="518"/>
      <c r="O137" s="518"/>
      <c r="P137" s="414"/>
    </row>
    <row r="138" spans="2:16" x14ac:dyDescent="0.2">
      <c r="B138" s="426" t="s">
        <v>282</v>
      </c>
      <c r="C138" s="59"/>
      <c r="D138" s="322">
        <f t="shared" si="26"/>
        <v>0</v>
      </c>
      <c r="E138" s="502"/>
      <c r="F138" s="518"/>
      <c r="G138" s="518"/>
      <c r="H138" s="518"/>
      <c r="I138" s="518"/>
      <c r="J138" s="414"/>
      <c r="K138" s="502"/>
      <c r="L138" s="518"/>
      <c r="M138" s="518"/>
      <c r="N138" s="518"/>
      <c r="O138" s="518"/>
      <c r="P138" s="414"/>
    </row>
    <row r="139" spans="2:16" x14ac:dyDescent="0.2">
      <c r="B139" s="426" t="s">
        <v>283</v>
      </c>
      <c r="C139" s="52"/>
      <c r="D139" s="322">
        <f t="shared" si="26"/>
        <v>0</v>
      </c>
      <c r="E139" s="502"/>
      <c r="F139" s="518"/>
      <c r="G139" s="518"/>
      <c r="H139" s="518"/>
      <c r="I139" s="518"/>
      <c r="J139" s="414"/>
      <c r="K139" s="502"/>
      <c r="L139" s="518"/>
      <c r="M139" s="518"/>
      <c r="N139" s="518"/>
      <c r="O139" s="518"/>
      <c r="P139" s="414"/>
    </row>
    <row r="140" spans="2:16" x14ac:dyDescent="0.2">
      <c r="B140" s="426" t="s">
        <v>335</v>
      </c>
      <c r="C140" s="52"/>
      <c r="D140" s="322">
        <f t="shared" si="26"/>
        <v>0</v>
      </c>
      <c r="E140" s="502"/>
      <c r="F140" s="518"/>
      <c r="G140" s="518"/>
      <c r="H140" s="518"/>
      <c r="I140" s="518"/>
      <c r="J140" s="414"/>
      <c r="K140" s="502"/>
      <c r="L140" s="518"/>
      <c r="M140" s="518"/>
      <c r="N140" s="518"/>
      <c r="O140" s="518"/>
      <c r="P140" s="414"/>
    </row>
    <row r="141" spans="2:16" x14ac:dyDescent="0.2">
      <c r="B141" s="426" t="s">
        <v>336</v>
      </c>
      <c r="C141" s="52"/>
      <c r="D141" s="322">
        <f t="shared" si="26"/>
        <v>0</v>
      </c>
      <c r="E141" s="502"/>
      <c r="F141" s="518"/>
      <c r="G141" s="518"/>
      <c r="H141" s="518"/>
      <c r="I141" s="518"/>
      <c r="J141" s="414"/>
      <c r="K141" s="502"/>
      <c r="L141" s="518"/>
      <c r="M141" s="518"/>
      <c r="N141" s="518"/>
      <c r="O141" s="518"/>
      <c r="P141" s="414"/>
    </row>
    <row r="142" spans="2:16" x14ac:dyDescent="0.2">
      <c r="B142" s="422" t="s">
        <v>16</v>
      </c>
      <c r="C142" s="52"/>
      <c r="D142" s="322">
        <f t="shared" si="26"/>
        <v>0</v>
      </c>
      <c r="E142" s="502"/>
      <c r="F142" s="518"/>
      <c r="G142" s="518"/>
      <c r="H142" s="518"/>
      <c r="I142" s="518"/>
      <c r="J142" s="414"/>
      <c r="K142" s="502"/>
      <c r="L142" s="518"/>
      <c r="M142" s="518"/>
      <c r="N142" s="518"/>
      <c r="O142" s="518"/>
      <c r="P142" s="414"/>
    </row>
    <row r="143" spans="2:16" x14ac:dyDescent="0.2">
      <c r="B143" s="422" t="s">
        <v>33</v>
      </c>
      <c r="C143" s="52"/>
      <c r="D143" s="322">
        <f t="shared" si="26"/>
        <v>0</v>
      </c>
      <c r="E143" s="506"/>
      <c r="F143" s="522"/>
      <c r="G143" s="522"/>
      <c r="H143" s="522"/>
      <c r="I143" s="522"/>
      <c r="J143" s="424"/>
      <c r="K143" s="506"/>
      <c r="L143" s="522"/>
      <c r="M143" s="522"/>
      <c r="N143" s="522"/>
      <c r="O143" s="522"/>
      <c r="P143" s="424"/>
    </row>
    <row r="144" spans="2:16" x14ac:dyDescent="0.2">
      <c r="B144" s="428" t="s">
        <v>272</v>
      </c>
      <c r="C144" s="261"/>
      <c r="D144" s="326">
        <f t="shared" si="26"/>
        <v>0</v>
      </c>
      <c r="E144" s="504">
        <f t="shared" ref="E144:P144" si="27">SUM(E120:E143)</f>
        <v>0</v>
      </c>
      <c r="F144" s="520">
        <f t="shared" si="27"/>
        <v>0</v>
      </c>
      <c r="G144" s="520">
        <f t="shared" si="27"/>
        <v>0</v>
      </c>
      <c r="H144" s="520">
        <f t="shared" si="27"/>
        <v>0</v>
      </c>
      <c r="I144" s="520">
        <f t="shared" si="27"/>
        <v>0</v>
      </c>
      <c r="J144" s="417">
        <f t="shared" si="27"/>
        <v>0</v>
      </c>
      <c r="K144" s="504">
        <f t="shared" si="27"/>
        <v>0</v>
      </c>
      <c r="L144" s="520">
        <f t="shared" si="27"/>
        <v>0</v>
      </c>
      <c r="M144" s="520">
        <f t="shared" si="27"/>
        <v>0</v>
      </c>
      <c r="N144" s="520">
        <f t="shared" si="27"/>
        <v>0</v>
      </c>
      <c r="O144" s="520">
        <f t="shared" si="27"/>
        <v>0</v>
      </c>
      <c r="P144" s="417">
        <f t="shared" si="27"/>
        <v>0</v>
      </c>
    </row>
    <row r="145" spans="2:16" ht="1.5" customHeight="1" x14ac:dyDescent="0.2">
      <c r="B145" s="406"/>
      <c r="D145" s="324"/>
      <c r="E145" s="508"/>
      <c r="F145" s="524"/>
      <c r="G145" s="535"/>
      <c r="H145" s="535"/>
      <c r="I145" s="535"/>
      <c r="J145" s="443"/>
      <c r="K145" s="541"/>
      <c r="L145" s="535"/>
      <c r="M145" s="535"/>
      <c r="N145" s="535"/>
      <c r="O145" s="535"/>
      <c r="P145" s="443"/>
    </row>
    <row r="146" spans="2:16" ht="1.5" customHeight="1" x14ac:dyDescent="0.2">
      <c r="B146" s="431"/>
      <c r="C146" s="10"/>
      <c r="D146" s="325"/>
      <c r="E146" s="508"/>
      <c r="F146" s="524"/>
      <c r="G146" s="524"/>
      <c r="H146" s="524"/>
      <c r="I146" s="524"/>
      <c r="J146" s="432"/>
      <c r="K146" s="508"/>
      <c r="L146" s="524"/>
      <c r="M146" s="524"/>
      <c r="N146" s="524"/>
      <c r="O146" s="524"/>
      <c r="P146" s="432"/>
    </row>
    <row r="147" spans="2:16" s="13" customFormat="1" x14ac:dyDescent="0.2">
      <c r="B147" s="450" t="s">
        <v>246</v>
      </c>
      <c r="C147" s="277"/>
      <c r="D147" s="333">
        <f>D117-D144</f>
        <v>0</v>
      </c>
      <c r="E147" s="552">
        <f>E117-E144</f>
        <v>0</v>
      </c>
      <c r="F147" s="556">
        <f t="shared" ref="F147:P147" si="28">F117-F144</f>
        <v>0</v>
      </c>
      <c r="G147" s="556">
        <f t="shared" si="28"/>
        <v>0</v>
      </c>
      <c r="H147" s="556">
        <f t="shared" si="28"/>
        <v>0</v>
      </c>
      <c r="I147" s="556">
        <f t="shared" si="28"/>
        <v>0</v>
      </c>
      <c r="J147" s="451">
        <f t="shared" si="28"/>
        <v>0</v>
      </c>
      <c r="K147" s="552">
        <f t="shared" si="28"/>
        <v>0</v>
      </c>
      <c r="L147" s="556">
        <f t="shared" si="28"/>
        <v>0</v>
      </c>
      <c r="M147" s="556">
        <f t="shared" si="28"/>
        <v>0</v>
      </c>
      <c r="N147" s="556">
        <f t="shared" si="28"/>
        <v>0</v>
      </c>
      <c r="O147" s="556">
        <f t="shared" si="28"/>
        <v>0</v>
      </c>
      <c r="P147" s="451">
        <f t="shared" si="28"/>
        <v>0</v>
      </c>
    </row>
    <row r="148" spans="2:16" ht="1.5" customHeight="1" x14ac:dyDescent="0.2">
      <c r="B148" s="435"/>
      <c r="C148" s="13"/>
      <c r="D148" s="324"/>
      <c r="E148" s="508"/>
      <c r="F148" s="524"/>
      <c r="G148" s="535"/>
      <c r="H148" s="535"/>
      <c r="I148" s="535"/>
      <c r="J148" s="443"/>
      <c r="K148" s="541"/>
      <c r="L148" s="535"/>
      <c r="M148" s="535"/>
      <c r="N148" s="535"/>
      <c r="O148" s="535"/>
      <c r="P148" s="443"/>
    </row>
    <row r="149" spans="2:16" ht="13.5" thickBot="1" x14ac:dyDescent="0.25">
      <c r="B149" s="433" t="s">
        <v>247</v>
      </c>
      <c r="C149" s="263"/>
      <c r="D149" s="329"/>
      <c r="E149" s="509">
        <f>E147</f>
        <v>0</v>
      </c>
      <c r="F149" s="525">
        <f>E149+F147</f>
        <v>0</v>
      </c>
      <c r="G149" s="525">
        <f t="shared" ref="G149" si="29">F149+G147</f>
        <v>0</v>
      </c>
      <c r="H149" s="525">
        <f t="shared" ref="H149" si="30">G149+H147</f>
        <v>0</v>
      </c>
      <c r="I149" s="525">
        <f t="shared" ref="I149" si="31">H149+I147</f>
        <v>0</v>
      </c>
      <c r="J149" s="434">
        <f t="shared" ref="J149" si="32">I149+J147</f>
        <v>0</v>
      </c>
      <c r="K149" s="509">
        <f t="shared" ref="K149" si="33">J149+K147</f>
        <v>0</v>
      </c>
      <c r="L149" s="525">
        <f t="shared" ref="L149" si="34">K149+L147</f>
        <v>0</v>
      </c>
      <c r="M149" s="525">
        <f t="shared" ref="M149" si="35">L149+M147</f>
        <v>0</v>
      </c>
      <c r="N149" s="525">
        <f t="shared" ref="N149" si="36">M149+N147</f>
        <v>0</v>
      </c>
      <c r="O149" s="525">
        <f t="shared" ref="O149" si="37">N149+O147</f>
        <v>0</v>
      </c>
      <c r="P149" s="434">
        <f t="shared" ref="P149" si="38">O149+P147</f>
        <v>0</v>
      </c>
    </row>
    <row r="150" spans="2:16" ht="1.5" customHeight="1" thickTop="1" x14ac:dyDescent="0.2">
      <c r="B150" s="406"/>
      <c r="D150" s="334"/>
      <c r="E150" s="553"/>
      <c r="F150" s="557"/>
      <c r="G150" s="559"/>
      <c r="H150" s="559"/>
      <c r="I150" s="559"/>
      <c r="J150" s="452"/>
      <c r="K150" s="560"/>
      <c r="L150" s="559"/>
      <c r="M150" s="559"/>
      <c r="N150" s="559"/>
      <c r="O150" s="559"/>
      <c r="P150" s="452"/>
    </row>
    <row r="151" spans="2:16" x14ac:dyDescent="0.2">
      <c r="B151" s="441" t="s">
        <v>257</v>
      </c>
      <c r="C151" s="276"/>
      <c r="D151" s="335">
        <f>D57+IF(HowSell="Direct to Processor",0,D105)+IF(ProjPersonal="Just Business Income and Expenses",0,'Monthly Cash Flow'!D147)</f>
        <v>0</v>
      </c>
      <c r="E151" s="554">
        <f>E57+IF(HowSell="Direct to Processor",0,E105)+IF(ProjPersonal="Just Business Income and Expenses",0,'Monthly Cash Flow'!E147)</f>
        <v>0</v>
      </c>
      <c r="F151" s="558">
        <f>F57+IF(HowSell="Direct to Processor",0,F105)+IF(ProjPersonal="Just Business Income and Expenses",0,'Monthly Cash Flow'!F147)</f>
        <v>0</v>
      </c>
      <c r="G151" s="558">
        <f>G57+IF(HowSell="Direct to Processor",0,G105)+IF(ProjPersonal="Just Business Income and Expenses",0,'Monthly Cash Flow'!G147)</f>
        <v>0</v>
      </c>
      <c r="H151" s="558">
        <f>H57+IF(HowSell="Direct to Processor",0,H105)+IF(ProjPersonal="Just Business Income and Expenses",0,'Monthly Cash Flow'!H147)</f>
        <v>0</v>
      </c>
      <c r="I151" s="558">
        <f>I57+IF(HowSell="Direct to Processor",0,I105)+IF(ProjPersonal="Just Business Income and Expenses",0,'Monthly Cash Flow'!I147)</f>
        <v>0</v>
      </c>
      <c r="J151" s="453">
        <f>J57+IF(HowSell="Direct to Processor",0,J105)+IF(ProjPersonal="Just Business Income and Expenses",0,'Monthly Cash Flow'!J147)</f>
        <v>0</v>
      </c>
      <c r="K151" s="554">
        <f>K57+IF(HowSell="Direct to Processor",0,K105)+IF(ProjPersonal="Just Business Income and Expenses",0,'Monthly Cash Flow'!K147)</f>
        <v>0</v>
      </c>
      <c r="L151" s="558">
        <f>L57+IF(HowSell="Direct to Processor",0,L105)+IF(ProjPersonal="Just Business Income and Expenses",0,'Monthly Cash Flow'!L147)</f>
        <v>0</v>
      </c>
      <c r="M151" s="558">
        <f>M57+IF(HowSell="Direct to Processor",0,M105)+IF(ProjPersonal="Just Business Income and Expenses",0,'Monthly Cash Flow'!M147)</f>
        <v>0</v>
      </c>
      <c r="N151" s="558">
        <f>N57+IF(HowSell="Direct to Processor",0,N105)+IF(ProjPersonal="Just Business Income and Expenses",0,'Monthly Cash Flow'!N147)</f>
        <v>0</v>
      </c>
      <c r="O151" s="558">
        <f>O57+IF(HowSell="Direct to Processor",0,O105)+IF(ProjPersonal="Just Business Income and Expenses",0,'Monthly Cash Flow'!O147)</f>
        <v>0</v>
      </c>
      <c r="P151" s="453">
        <f>P57+IF(HowSell="Direct to Processor",0,P105)+IF(ProjPersonal="Just Business Income and Expenses",0,'Monthly Cash Flow'!P147)</f>
        <v>0</v>
      </c>
    </row>
    <row r="152" spans="2:16" ht="5.0999999999999996" customHeight="1" x14ac:dyDescent="0.2">
      <c r="B152" s="406"/>
      <c r="D152" s="334"/>
      <c r="E152" s="553"/>
      <c r="F152" s="557"/>
      <c r="G152" s="559"/>
      <c r="H152" s="559"/>
      <c r="I152" s="559"/>
      <c r="J152" s="452"/>
      <c r="K152" s="560"/>
      <c r="L152" s="559"/>
      <c r="M152" s="559"/>
      <c r="N152" s="559"/>
      <c r="O152" s="559"/>
      <c r="P152" s="452"/>
    </row>
    <row r="153" spans="2:16" ht="13.5" thickBot="1" x14ac:dyDescent="0.25">
      <c r="B153" s="454" t="s">
        <v>256</v>
      </c>
      <c r="C153" s="455"/>
      <c r="D153" s="456"/>
      <c r="E153" s="513">
        <f>E59+IF(HowSell="direct to processor",0,E107)+IF(ProjPersonal="Just Business Income and Expenses",0,'Monthly Cash Flow'!E149)</f>
        <v>0</v>
      </c>
      <c r="F153" s="529">
        <f>F59+IF(HowSell="direct to processor",0,F107)+IF(ProjPersonal="Just Business Income and Expenses",0,'Monthly Cash Flow'!F149)</f>
        <v>0</v>
      </c>
      <c r="G153" s="529">
        <f>G59+IF(HowSell="direct to processor",0,G107)+IF(ProjPersonal="Just Business Income and Expenses",0,'Monthly Cash Flow'!G149)</f>
        <v>0</v>
      </c>
      <c r="H153" s="529">
        <f>H59+IF(HowSell="direct to processor",0,H107)+IF(ProjPersonal="Just Business Income and Expenses",0,'Monthly Cash Flow'!H149)</f>
        <v>0</v>
      </c>
      <c r="I153" s="529">
        <f>I59+IF(HowSell="direct to processor",0,I107)+IF(ProjPersonal="Just Business Income and Expenses",0,'Monthly Cash Flow'!I149)</f>
        <v>0</v>
      </c>
      <c r="J153" s="457">
        <f>J59+IF(HowSell="direct to processor",0,J107)+IF(ProjPersonal="Just Business Income and Expenses",0,'Monthly Cash Flow'!J149)</f>
        <v>0</v>
      </c>
      <c r="K153" s="513">
        <f>K59+IF(HowSell="direct to processor",0,K107)+IF(ProjPersonal="Just Business Income and Expenses",0,'Monthly Cash Flow'!K149)</f>
        <v>0</v>
      </c>
      <c r="L153" s="529">
        <f>L59+IF(HowSell="direct to processor",0,L107)+IF(ProjPersonal="Just Business Income and Expenses",0,'Monthly Cash Flow'!L149)</f>
        <v>0</v>
      </c>
      <c r="M153" s="529">
        <f>M59+IF(HowSell="direct to processor",0,M107)+IF(ProjPersonal="Just Business Income and Expenses",0,'Monthly Cash Flow'!M149)</f>
        <v>0</v>
      </c>
      <c r="N153" s="529">
        <f>N59+IF(HowSell="direct to processor",0,N107)+IF(ProjPersonal="Just Business Income and Expenses",0,'Monthly Cash Flow'!N149)</f>
        <v>0</v>
      </c>
      <c r="O153" s="529">
        <f>O59+IF(HowSell="direct to processor",0,O107)+IF(ProjPersonal="Just Business Income and Expenses",0,'Monthly Cash Flow'!O149)</f>
        <v>0</v>
      </c>
      <c r="P153" s="457">
        <f>P59+IF(HowSell="direct to processor",0,P107)+IF(ProjPersonal="Just Business Income and Expenses",0,'Monthly Cash Flow'!P149)</f>
        <v>0</v>
      </c>
    </row>
    <row r="154" spans="2:16" x14ac:dyDescent="0.2">
      <c r="K154" s="532"/>
    </row>
  </sheetData>
  <mergeCells count="3">
    <mergeCell ref="B3:F4"/>
    <mergeCell ref="B5:F5"/>
    <mergeCell ref="D6:F6"/>
  </mergeCells>
  <phoneticPr fontId="11" type="noConversion"/>
  <conditionalFormatting sqref="B111:P119 B144:P149 C120:P143">
    <cfRule type="expression" dxfId="14" priority="6">
      <formula>ProjPersonal="Just Business Income and Expenses"</formula>
    </cfRule>
  </conditionalFormatting>
  <conditionalFormatting sqref="B120:B143">
    <cfRule type="expression" dxfId="13" priority="1">
      <formula>ProjPersonal="Just Business Income and Expenses"</formula>
    </cfRule>
  </conditionalFormatting>
  <pageMargins left="0.25" right="0.25" top="0.75" bottom="0.75" header="0.3" footer="0.3"/>
  <pageSetup pageOrder="overThenDown" orientation="landscape" horizontalDpi="4294967293" verticalDpi="4294967293" r:id="rId1"/>
  <headerFooter alignWithMargins="0"/>
  <rowBreaks count="3" manualBreakCount="3">
    <brk id="60" max="16383" man="1"/>
    <brk id="97" min="1" max="15" man="1"/>
    <brk id="110" max="16383" man="1"/>
  </rowBreaks>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expression" priority="9" id="{46127A78-A023-4997-B8DB-982509E5CEA8}">
            <xm:f>'Gen Info'!$K$19="Direct to Processor"</xm:f>
            <x14:dxf>
              <font>
                <color theme="0" tint="-0.499984740745262"/>
              </font>
              <fill>
                <patternFill>
                  <bgColor theme="0" tint="-0.34998626667073579"/>
                </patternFill>
              </fill>
            </x14:dxf>
          </x14:cfRule>
          <xm:sqref>C100:P101 B102:P108 B62:P99</xm:sqref>
        </x14:conditionalFormatting>
        <x14:conditionalFormatting xmlns:xm="http://schemas.microsoft.com/office/excel/2006/main">
          <x14:cfRule type="expression" priority="8" id="{0784C8EF-07B9-44A7-9B74-198EB4BD50F2}">
            <xm:f>'Gen Info'!$K$19="Direct to Processor"</xm:f>
            <x14:dxf>
              <font>
                <color theme="0" tint="-0.499984740745262"/>
              </font>
              <fill>
                <patternFill>
                  <bgColor theme="0" tint="-0.34998626667073579"/>
                </patternFill>
              </fill>
            </x14:dxf>
          </x14:cfRule>
          <xm:sqref>B70:C80</xm:sqref>
        </x14:conditionalFormatting>
        <x14:conditionalFormatting xmlns:xm="http://schemas.microsoft.com/office/excel/2006/main">
          <x14:cfRule type="expression" priority="7" id="{BFDB2DA2-9E53-4F30-9A3E-9549251BAA3C}">
            <xm:f>'Gen Info'!$K$19="Direct to Processor"</xm:f>
            <x14:dxf>
              <font>
                <color theme="0" tint="-0.499984740745262"/>
              </font>
              <fill>
                <patternFill>
                  <bgColor theme="0" tint="-0.34998626667073579"/>
                </patternFill>
              </fill>
            </x14:dxf>
          </x14:cfRule>
          <xm:sqref>B83:C91</xm:sqref>
        </x14:conditionalFormatting>
        <x14:conditionalFormatting xmlns:xm="http://schemas.microsoft.com/office/excel/2006/main">
          <x14:cfRule type="expression" priority="4" id="{01A33D37-6781-4D34-968E-3D8EE6EC81D3}">
            <xm:f>'Gen Info'!$K$19="Direct to Processor"</xm:f>
            <x14:dxf>
              <font>
                <color theme="0" tint="-0.499984740745262"/>
              </font>
              <fill>
                <patternFill>
                  <bgColor theme="0" tint="-0.34998626667073579"/>
                </patternFill>
              </fill>
            </x14:dxf>
          </x14:cfRule>
          <xm:sqref>B100:B101</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11"/>
  </sheetPr>
  <dimension ref="A3:H27"/>
  <sheetViews>
    <sheetView showGridLines="0" zoomScale="140" zoomScaleNormal="140" zoomScaleSheetLayoutView="98" workbookViewId="0">
      <selection activeCell="A19" sqref="A19"/>
    </sheetView>
  </sheetViews>
  <sheetFormatPr defaultRowHeight="12.75" x14ac:dyDescent="0.2"/>
  <cols>
    <col min="1" max="1" width="12.140625" customWidth="1"/>
    <col min="4" max="4" width="2.140625" customWidth="1"/>
  </cols>
  <sheetData>
    <row r="3" spans="1:8" x14ac:dyDescent="0.2">
      <c r="A3" t="s">
        <v>196</v>
      </c>
      <c r="C3" t="s">
        <v>205</v>
      </c>
    </row>
    <row r="4" spans="1:8" x14ac:dyDescent="0.2">
      <c r="A4" t="s">
        <v>197</v>
      </c>
      <c r="C4" t="s">
        <v>19</v>
      </c>
    </row>
    <row r="5" spans="1:8" x14ac:dyDescent="0.2">
      <c r="A5" t="s">
        <v>198</v>
      </c>
      <c r="C5" t="s">
        <v>20</v>
      </c>
    </row>
    <row r="6" spans="1:8" x14ac:dyDescent="0.2">
      <c r="A6" t="s">
        <v>200</v>
      </c>
      <c r="C6" t="s">
        <v>21</v>
      </c>
      <c r="G6">
        <v>1</v>
      </c>
      <c r="H6" s="68" t="s">
        <v>287</v>
      </c>
    </row>
    <row r="7" spans="1:8" x14ac:dyDescent="0.2">
      <c r="A7" t="s">
        <v>202</v>
      </c>
      <c r="C7" t="s">
        <v>22</v>
      </c>
      <c r="G7">
        <v>2</v>
      </c>
      <c r="H7" s="68" t="s">
        <v>289</v>
      </c>
    </row>
    <row r="8" spans="1:8" x14ac:dyDescent="0.2">
      <c r="C8" t="s">
        <v>18</v>
      </c>
    </row>
    <row r="9" spans="1:8" x14ac:dyDescent="0.2">
      <c r="C9" t="s">
        <v>23</v>
      </c>
    </row>
    <row r="10" spans="1:8" x14ac:dyDescent="0.2">
      <c r="C10" t="s">
        <v>24</v>
      </c>
    </row>
    <row r="11" spans="1:8" x14ac:dyDescent="0.2">
      <c r="C11" t="s">
        <v>25</v>
      </c>
    </row>
    <row r="12" spans="1:8" x14ac:dyDescent="0.2">
      <c r="C12" t="s">
        <v>26</v>
      </c>
    </row>
    <row r="13" spans="1:8" x14ac:dyDescent="0.2">
      <c r="C13" t="s">
        <v>27</v>
      </c>
    </row>
    <row r="14" spans="1:8" x14ac:dyDescent="0.2">
      <c r="C14" t="s">
        <v>28</v>
      </c>
    </row>
    <row r="15" spans="1:8" x14ac:dyDescent="0.2">
      <c r="C15" t="s">
        <v>29</v>
      </c>
    </row>
    <row r="17" spans="1:4" x14ac:dyDescent="0.2">
      <c r="A17" s="68" t="s">
        <v>229</v>
      </c>
      <c r="B17" s="68" t="s">
        <v>253</v>
      </c>
      <c r="C17" s="68" t="s">
        <v>288</v>
      </c>
    </row>
    <row r="18" spans="1:4" x14ac:dyDescent="0.2">
      <c r="A18" s="68" t="s">
        <v>334</v>
      </c>
      <c r="B18" s="68">
        <v>1</v>
      </c>
      <c r="C18" s="68" t="s">
        <v>227</v>
      </c>
    </row>
    <row r="19" spans="1:4" x14ac:dyDescent="0.2">
      <c r="A19" s="68" t="s">
        <v>228</v>
      </c>
      <c r="B19" s="68">
        <v>2</v>
      </c>
      <c r="C19" s="68" t="str">
        <f>MarketingNew[[#This Row],[Marketing]]</f>
        <v>Direct to consumer</v>
      </c>
    </row>
    <row r="20" spans="1:4" x14ac:dyDescent="0.2">
      <c r="A20" s="68" t="s">
        <v>113</v>
      </c>
      <c r="B20" s="68">
        <v>3</v>
      </c>
      <c r="C20" s="68" t="str">
        <f>MarketingNew[[#This Row],[Marketing]]</f>
        <v>Both</v>
      </c>
    </row>
    <row r="24" spans="1:4" ht="10.5" customHeight="1" x14ac:dyDescent="0.2">
      <c r="B24">
        <v>1</v>
      </c>
      <c r="C24" s="68" t="s">
        <v>202</v>
      </c>
    </row>
    <row r="25" spans="1:4" ht="10.5" customHeight="1" x14ac:dyDescent="0.2">
      <c r="B25">
        <v>2</v>
      </c>
      <c r="C25" s="68" t="s">
        <v>197</v>
      </c>
    </row>
    <row r="27" spans="1:4" x14ac:dyDescent="0.2">
      <c r="D27" t="str">
        <f>IF(ProjTime="Annual","AnnualIcon","MonthlyIcon1")</f>
        <v>MonthlyIcon1</v>
      </c>
    </row>
  </sheetData>
  <pageMargins left="0.7" right="0.7" top="0.75" bottom="0.75" header="0.3" footer="0.3"/>
  <pageSetup orientation="portrait" horizontalDpi="1200" verticalDpi="1200"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417</vt:i4>
      </vt:variant>
    </vt:vector>
  </HeadingPairs>
  <TitlesOfParts>
    <vt:vector size="426" baseType="lpstr">
      <vt:lpstr>Gen Info</vt:lpstr>
      <vt:lpstr>Final Balance Sheet</vt:lpstr>
      <vt:lpstr>Bal Sheet Entry</vt:lpstr>
      <vt:lpstr>Asset Detail</vt:lpstr>
      <vt:lpstr>Liability Detail</vt:lpstr>
      <vt:lpstr>Loans</vt:lpstr>
      <vt:lpstr>P&amp;L-Annual Cash Flow</vt:lpstr>
      <vt:lpstr>Monthly Cash Flow</vt:lpstr>
      <vt:lpstr>Inputs</vt:lpstr>
      <vt:lpstr>ACFCapPurchInput</vt:lpstr>
      <vt:lpstr>ACFCrewEarnedInput</vt:lpstr>
      <vt:lpstr>ACFDMCapPurchInput</vt:lpstr>
      <vt:lpstr>ACFDMEtcInput</vt:lpstr>
      <vt:lpstr>ACFDMFCDeprInput</vt:lpstr>
      <vt:lpstr>ACFDMFCIntInput</vt:lpstr>
      <vt:lpstr>ACFDMFCMiscInput</vt:lpstr>
      <vt:lpstr>ACFDMFCOthInput</vt:lpstr>
      <vt:lpstr>ACFDMFCPermitsInput</vt:lpstr>
      <vt:lpstr>ACFDMFCPromoInput</vt:lpstr>
      <vt:lpstr>ACFDMFCRentInput</vt:lpstr>
      <vt:lpstr>ACFDMFCVehInput</vt:lpstr>
      <vt:lpstr>ACFDMGainInput</vt:lpstr>
      <vt:lpstr>ACFDMNewCredInput</vt:lpstr>
      <vt:lpstr>ACFDMOthInput</vt:lpstr>
      <vt:lpstr>ACFDMPrinInput</vt:lpstr>
      <vt:lpstr>ACFDMSaleInput</vt:lpstr>
      <vt:lpstr>ACFDMSaleShoreBSValInput</vt:lpstr>
      <vt:lpstr>ACFDMSaleShoreInput</vt:lpstr>
      <vt:lpstr>ACFDMVCColdInput</vt:lpstr>
      <vt:lpstr>ACFDMVCFinProdInput</vt:lpstr>
      <vt:lpstr>ACFDMVCInsInput</vt:lpstr>
      <vt:lpstr>ACFDMVCLaborInput</vt:lpstr>
      <vt:lpstr>ACFDMVCMiscInput</vt:lpstr>
      <vt:lpstr>ACFDMVCOthInput</vt:lpstr>
      <vt:lpstr>ACFDMVCPackInput</vt:lpstr>
      <vt:lpstr>ACFDMVCShipInput</vt:lpstr>
      <vt:lpstr>ACFDMVCSuppliesInput</vt:lpstr>
      <vt:lpstr>ACFDMVCUtilInput</vt:lpstr>
      <vt:lpstr>ACFFCDeprInput</vt:lpstr>
      <vt:lpstr>ACFFCInterestInput</vt:lpstr>
      <vt:lpstr>ACFFCMiscInput</vt:lpstr>
      <vt:lpstr>ACFFCOthInput</vt:lpstr>
      <vt:lpstr>ACFFCPermitInput</vt:lpstr>
      <vt:lpstr>ACFFCPermitsInput</vt:lpstr>
      <vt:lpstr>ACFFCPortInput</vt:lpstr>
      <vt:lpstr>ACFFCProfInput</vt:lpstr>
      <vt:lpstr>ACFFCPropTaxInput</vt:lpstr>
      <vt:lpstr>ACFFCVesInsInput</vt:lpstr>
      <vt:lpstr>ACFFishSalesInput</vt:lpstr>
      <vt:lpstr>ACFGainPermitInput</vt:lpstr>
      <vt:lpstr>ACFGainVesInput</vt:lpstr>
      <vt:lpstr>ACFNewCredInput</vt:lpstr>
      <vt:lpstr>ACFOthIncomeInput</vt:lpstr>
      <vt:lpstr>ACFPChildCareInput</vt:lpstr>
      <vt:lpstr>ACFPChildSupInput</vt:lpstr>
      <vt:lpstr>ACFPClothingInput</vt:lpstr>
      <vt:lpstr>ACFPDisInsInput</vt:lpstr>
      <vt:lpstr>ACFPEducationInput</vt:lpstr>
      <vt:lpstr>ACFPermitBSValInput</vt:lpstr>
      <vt:lpstr>ACFPermitSaleInput</vt:lpstr>
      <vt:lpstr>ACFPFoodInput</vt:lpstr>
      <vt:lpstr>ACFPGiftsInput</vt:lpstr>
      <vt:lpstr>ACFPIncPersLoansInput</vt:lpstr>
      <vt:lpstr>ACFPIncPersREEInput</vt:lpstr>
      <vt:lpstr>ACFPIncTaxInput</vt:lpstr>
      <vt:lpstr>ACFPInsInput</vt:lpstr>
      <vt:lpstr>ACFPIntInput</vt:lpstr>
      <vt:lpstr>ACFPInvestInput</vt:lpstr>
      <vt:lpstr>ACFPLifeInsInput</vt:lpstr>
      <vt:lpstr>ACFPLoanPayInput</vt:lpstr>
      <vt:lpstr>ACFPMedicalInput</vt:lpstr>
      <vt:lpstr>ACFPMortInput</vt:lpstr>
      <vt:lpstr>ACFPOthIncInput</vt:lpstr>
      <vt:lpstr>ACFPOthPayInput</vt:lpstr>
      <vt:lpstr>ACFPOthPurchInput</vt:lpstr>
      <vt:lpstr>ACFPPersCareInput</vt:lpstr>
      <vt:lpstr>ACFPPropInsInput</vt:lpstr>
      <vt:lpstr>ACFPRecInput</vt:lpstr>
      <vt:lpstr>ACFPRETaxesInput</vt:lpstr>
      <vt:lpstr>ACFPrinInput</vt:lpstr>
      <vt:lpstr>ACFPSupInput</vt:lpstr>
      <vt:lpstr>ACFPUtilInput</vt:lpstr>
      <vt:lpstr>ACFPVehInput</vt:lpstr>
      <vt:lpstr>ACFPWagesInput</vt:lpstr>
      <vt:lpstr>ACFVCBaitInput</vt:lpstr>
      <vt:lpstr>ACFVCCrewInput</vt:lpstr>
      <vt:lpstr>ACFVCCrewInsInput</vt:lpstr>
      <vt:lpstr>ACFVCFuelInput</vt:lpstr>
      <vt:lpstr>ACFVCGearInput</vt:lpstr>
      <vt:lpstr>ACFVCMiscInput</vt:lpstr>
      <vt:lpstr>ACFVCOthInput</vt:lpstr>
      <vt:lpstr>ACFVCProvisionsInput</vt:lpstr>
      <vt:lpstr>ACFVCRepairsInput</vt:lpstr>
      <vt:lpstr>ACFVCTaxesInput</vt:lpstr>
      <vt:lpstr>ACFVesBSValInput</vt:lpstr>
      <vt:lpstr>ACFVesLeaseInput</vt:lpstr>
      <vt:lpstr>ACFVesSalesInput</vt:lpstr>
      <vt:lpstr>Address</vt:lpstr>
      <vt:lpstr>AnnualIcon</vt:lpstr>
      <vt:lpstr>BalanceSheet</vt:lpstr>
      <vt:lpstr>Blank</vt:lpstr>
      <vt:lpstr>BSBusLoans</vt:lpstr>
      <vt:lpstr>BSCABusLoans</vt:lpstr>
      <vt:lpstr>BSCACash</vt:lpstr>
      <vt:lpstr>BSCADueProc</vt:lpstr>
      <vt:lpstr>BSCAOthBusAR</vt:lpstr>
      <vt:lpstr>BSCAOther</vt:lpstr>
      <vt:lpstr>BSCAPrepaid</vt:lpstr>
      <vt:lpstr>BSCLAP</vt:lpstr>
      <vt:lpstr>BSCLCC</vt:lpstr>
      <vt:lpstr>BSCLCurrent</vt:lpstr>
      <vt:lpstr>BSCLCurrLT</vt:lpstr>
      <vt:lpstr>BSCLOth</vt:lpstr>
      <vt:lpstr>BSCLTaxes</vt:lpstr>
      <vt:lpstr>BSNCCapConst</vt:lpstr>
      <vt:lpstr>BSNCOth</vt:lpstr>
      <vt:lpstr>BSNCOthFishEquip</vt:lpstr>
      <vt:lpstr>BSNCPermits</vt:lpstr>
      <vt:lpstr>BSNCRE</vt:lpstr>
      <vt:lpstr>BSNCVehicles</vt:lpstr>
      <vt:lpstr>BSNCVessel</vt:lpstr>
      <vt:lpstr>BSNLBVeh</vt:lpstr>
      <vt:lpstr>BSNLOth</vt:lpstr>
      <vt:lpstr>BSNLPermit</vt:lpstr>
      <vt:lpstr>BSNLRE</vt:lpstr>
      <vt:lpstr>BSNLVessel</vt:lpstr>
      <vt:lpstr>BSPersCash</vt:lpstr>
      <vt:lpstr>BSPLAP</vt:lpstr>
      <vt:lpstr>BSPLCC</vt:lpstr>
      <vt:lpstr>BSPLife</vt:lpstr>
      <vt:lpstr>BSPLLoans</vt:lpstr>
      <vt:lpstr>BSPLOth</vt:lpstr>
      <vt:lpstr>BSPLR</vt:lpstr>
      <vt:lpstr>BSPLRE</vt:lpstr>
      <vt:lpstr>BSPLTaxes</vt:lpstr>
      <vt:lpstr>BSPOth</vt:lpstr>
      <vt:lpstr>BSPProp</vt:lpstr>
      <vt:lpstr>BSPRE</vt:lpstr>
      <vt:lpstr>BSPRetire</vt:lpstr>
      <vt:lpstr>BSPStocks</vt:lpstr>
      <vt:lpstr>BSPVeh</vt:lpstr>
      <vt:lpstr>BusName</vt:lpstr>
      <vt:lpstr>CABusLoanEntry</vt:lpstr>
      <vt:lpstr>CABusLoansRecTot</vt:lpstr>
      <vt:lpstr>CACashEntry</vt:lpstr>
      <vt:lpstr>CACashTot</vt:lpstr>
      <vt:lpstr>CADueEntry</vt:lpstr>
      <vt:lpstr>CADueProcTot</vt:lpstr>
      <vt:lpstr>CAOthAREntry</vt:lpstr>
      <vt:lpstr>CAOtherEntry</vt:lpstr>
      <vt:lpstr>CAOtherTot</vt:lpstr>
      <vt:lpstr>CAOthRecTot</vt:lpstr>
      <vt:lpstr>CAPrepaidEntry</vt:lpstr>
      <vt:lpstr>CAPrepaids</vt:lpstr>
      <vt:lpstr>CAPrepaidTot</vt:lpstr>
      <vt:lpstr>CashDetail</vt:lpstr>
      <vt:lpstr>City</vt:lpstr>
      <vt:lpstr>CLAPEntry</vt:lpstr>
      <vt:lpstr>CLAPTot</vt:lpstr>
      <vt:lpstr>CLBizCCEntry</vt:lpstr>
      <vt:lpstr>CLBizCCTot</vt:lpstr>
      <vt:lpstr>CLOthCurEntry</vt:lpstr>
      <vt:lpstr>CLOthCurTot</vt:lpstr>
      <vt:lpstr>CLTaxesEntry</vt:lpstr>
      <vt:lpstr>CLTaxesTot</vt:lpstr>
      <vt:lpstr>'P&amp;L-Annual Cash Flow'!Criteria</vt:lpstr>
      <vt:lpstr>CurAssetsDet</vt:lpstr>
      <vt:lpstr>CurPortLT</vt:lpstr>
      <vt:lpstr>CurrentAssetsDetail</vt:lpstr>
      <vt:lpstr>DMNetIncome</vt:lpstr>
      <vt:lpstr>FishingNetIncome</vt:lpstr>
      <vt:lpstr>GenDate</vt:lpstr>
      <vt:lpstr>HowSell</vt:lpstr>
      <vt:lpstr>LoanBVehEntry</vt:lpstr>
      <vt:lpstr>LoanCurrent</vt:lpstr>
      <vt:lpstr>LoanFreq</vt:lpstr>
      <vt:lpstr>LoanPermitEntry</vt:lpstr>
      <vt:lpstr>LoanPersEntry</vt:lpstr>
      <vt:lpstr>LoanPersEntryCurrent</vt:lpstr>
      <vt:lpstr>LoanPersREEntry</vt:lpstr>
      <vt:lpstr>LoanPersREEntryCurrent</vt:lpstr>
      <vt:lpstr>LoanREEntry</vt:lpstr>
      <vt:lpstr>LoanTBVeh</vt:lpstr>
      <vt:lpstr>LoanTCurrEntry</vt:lpstr>
      <vt:lpstr>LoanTPermitEntry</vt:lpstr>
      <vt:lpstr>LoanTPerREEntry</vt:lpstr>
      <vt:lpstr>LoanTPersEntry</vt:lpstr>
      <vt:lpstr>LoanTREEntry</vt:lpstr>
      <vt:lpstr>LoanTVesEntry</vt:lpstr>
      <vt:lpstr>LoanTVessel</vt:lpstr>
      <vt:lpstr>LoanTVessEntry</vt:lpstr>
      <vt:lpstr>LoanVesselEntry</vt:lpstr>
      <vt:lpstr>MCFCapPurchInput</vt:lpstr>
      <vt:lpstr>MCFCapPurchTot</vt:lpstr>
      <vt:lpstr>MCFCrewEarnedInput</vt:lpstr>
      <vt:lpstr>MCFCrewEarnedTot</vt:lpstr>
      <vt:lpstr>MCFDMCapPurchInput</vt:lpstr>
      <vt:lpstr>MCFDMCapPurchTot</vt:lpstr>
      <vt:lpstr>MCFDMEquipBSValInput</vt:lpstr>
      <vt:lpstr>MCFDMEquipBSValTot</vt:lpstr>
      <vt:lpstr>MCFDMEquipSaleTot</vt:lpstr>
      <vt:lpstr>MCFDMEtcInput</vt:lpstr>
      <vt:lpstr>MCFDMEtcTot</vt:lpstr>
      <vt:lpstr>MCFDMFCDeprTot</vt:lpstr>
      <vt:lpstr>MCFDMFCIntInput</vt:lpstr>
      <vt:lpstr>MCFDMFCIntTot</vt:lpstr>
      <vt:lpstr>MCFDMFCMiscInput</vt:lpstr>
      <vt:lpstr>MCFDMFCMiscTot</vt:lpstr>
      <vt:lpstr>MCFDMFCOthInput</vt:lpstr>
      <vt:lpstr>MCFDMFCOthTot</vt:lpstr>
      <vt:lpstr>MCFDMFCPermitsInput</vt:lpstr>
      <vt:lpstr>MCFDMFCPermitTot</vt:lpstr>
      <vt:lpstr>MCFDMFCPromoInput</vt:lpstr>
      <vt:lpstr>MCFDMFCPromoTot</vt:lpstr>
      <vt:lpstr>MCFDMFCRentInput</vt:lpstr>
      <vt:lpstr>MCFDMFCRentTot</vt:lpstr>
      <vt:lpstr>MCFDMFCVehInput</vt:lpstr>
      <vt:lpstr>MCFDMFCVehTot</vt:lpstr>
      <vt:lpstr>MCFDMGainInput</vt:lpstr>
      <vt:lpstr>MCFDMGainShoreTot</vt:lpstr>
      <vt:lpstr>MCFDMNewCredInput</vt:lpstr>
      <vt:lpstr>MCFDMNewCredTot</vt:lpstr>
      <vt:lpstr>MCFDMOthInput</vt:lpstr>
      <vt:lpstr>MCFDMOthTot</vt:lpstr>
      <vt:lpstr>MCFDMPrinInput</vt:lpstr>
      <vt:lpstr>MCFDMPrinTot</vt:lpstr>
      <vt:lpstr>MCFDMSaleInput</vt:lpstr>
      <vt:lpstr>MCFDMSalesTot</vt:lpstr>
      <vt:lpstr>MCFDMShoreSaleInput</vt:lpstr>
      <vt:lpstr>MCFDMVCColdInput</vt:lpstr>
      <vt:lpstr>MCFDMVCColdTot</vt:lpstr>
      <vt:lpstr>MCFDMVCDeprShoreInput</vt:lpstr>
      <vt:lpstr>MCFDMVCInsInput</vt:lpstr>
      <vt:lpstr>MCFDMVCInsTot</vt:lpstr>
      <vt:lpstr>MCFDMVCLaborInput</vt:lpstr>
      <vt:lpstr>MCFDMVCLaborTot</vt:lpstr>
      <vt:lpstr>MCFDMVCMiscInput</vt:lpstr>
      <vt:lpstr>MCFDMVCMiscTot</vt:lpstr>
      <vt:lpstr>MCFDMVCOthInput</vt:lpstr>
      <vt:lpstr>MCFDMVCOthTot</vt:lpstr>
      <vt:lpstr>MCFDMVCPackInput</vt:lpstr>
      <vt:lpstr>MCFDMVCPackTot</vt:lpstr>
      <vt:lpstr>MCFDMVCPurchFinTot</vt:lpstr>
      <vt:lpstr>MCFDMVCPurchInput</vt:lpstr>
      <vt:lpstr>MCFDMVCShippingInput</vt:lpstr>
      <vt:lpstr>MCFDMVCShippingTot</vt:lpstr>
      <vt:lpstr>MCFDMVCSuppliedInput</vt:lpstr>
      <vt:lpstr>MCFDMVCSuppliesTot</vt:lpstr>
      <vt:lpstr>MCFDMVCUtilInput</vt:lpstr>
      <vt:lpstr>MCFDMVCUtilTot</vt:lpstr>
      <vt:lpstr>MCFFCAmortTot</vt:lpstr>
      <vt:lpstr>MCFFCDeprInput</vt:lpstr>
      <vt:lpstr>MCFFCDeprTot</vt:lpstr>
      <vt:lpstr>MCFFCInterestInput</vt:lpstr>
      <vt:lpstr>MCFFCInterestTot</vt:lpstr>
      <vt:lpstr>MCFFCMiscInput</vt:lpstr>
      <vt:lpstr>MCFFCMiscTot</vt:lpstr>
      <vt:lpstr>MCFFCOthInput</vt:lpstr>
      <vt:lpstr>MCFFCOthTot</vt:lpstr>
      <vt:lpstr>MCFFCPermitInput</vt:lpstr>
      <vt:lpstr>MCFFCPermitsInput</vt:lpstr>
      <vt:lpstr>MCFFCPermitTot</vt:lpstr>
      <vt:lpstr>MCFFCPortInput</vt:lpstr>
      <vt:lpstr>MCFFCPortTot</vt:lpstr>
      <vt:lpstr>MCFFCProfInput</vt:lpstr>
      <vt:lpstr>MCFFCProfTot</vt:lpstr>
      <vt:lpstr>MCFFCPropTaxesInput</vt:lpstr>
      <vt:lpstr>MCFFCPropTaxTot</vt:lpstr>
      <vt:lpstr>MCFFCVesInsInput</vt:lpstr>
      <vt:lpstr>MCFFCVesInsTot</vt:lpstr>
      <vt:lpstr>MCFFishSalesInput</vt:lpstr>
      <vt:lpstr>MCFGainPermitInput</vt:lpstr>
      <vt:lpstr>MCFGainPermitTot</vt:lpstr>
      <vt:lpstr>MCFGainVesInput</vt:lpstr>
      <vt:lpstr>MCFGainVesTot</vt:lpstr>
      <vt:lpstr>MCFNewCredInput</vt:lpstr>
      <vt:lpstr>MCFNewCredTot</vt:lpstr>
      <vt:lpstr>MCFOthIncomeInput</vt:lpstr>
      <vt:lpstr>MCFOthTot</vt:lpstr>
      <vt:lpstr>MCFPChildCareInput</vt:lpstr>
      <vt:lpstr>MCFPChildCareTot</vt:lpstr>
      <vt:lpstr>MCFPChildSupportInput</vt:lpstr>
      <vt:lpstr>MCFPChildSupTot</vt:lpstr>
      <vt:lpstr>MCFPClothingInput</vt:lpstr>
      <vt:lpstr>MCFPClothingTot</vt:lpstr>
      <vt:lpstr>MCFPDisInsInput</vt:lpstr>
      <vt:lpstr>MCFPDisInsTot</vt:lpstr>
      <vt:lpstr>MCFPEducationInput</vt:lpstr>
      <vt:lpstr>MCFPEducationTot</vt:lpstr>
      <vt:lpstr>MCFPermitSalesInput</vt:lpstr>
      <vt:lpstr>MCFPFoodInput</vt:lpstr>
      <vt:lpstr>MCFPFoodTot</vt:lpstr>
      <vt:lpstr>MCFPGiftsInput</vt:lpstr>
      <vt:lpstr>MCFPGiftsTot</vt:lpstr>
      <vt:lpstr>MCFPIncPersLoansInput</vt:lpstr>
      <vt:lpstr>MCFPIncPersLoansTot</vt:lpstr>
      <vt:lpstr>MCFPIncPersREEInput</vt:lpstr>
      <vt:lpstr>MCFPIncPersREETot</vt:lpstr>
      <vt:lpstr>MCFPIncTaxInput</vt:lpstr>
      <vt:lpstr>MCFPIncTaxTot</vt:lpstr>
      <vt:lpstr>MCFPInsInput</vt:lpstr>
      <vt:lpstr>MCFPInsTot</vt:lpstr>
      <vt:lpstr>MCFPIntIncInput</vt:lpstr>
      <vt:lpstr>MCFPIntIncTot</vt:lpstr>
      <vt:lpstr>MCFPInvestInput</vt:lpstr>
      <vt:lpstr>MCFPInvestTot</vt:lpstr>
      <vt:lpstr>MCFPLifeInsInput</vt:lpstr>
      <vt:lpstr>MCFPLifeInsTot</vt:lpstr>
      <vt:lpstr>MCFPLoanPayInput</vt:lpstr>
      <vt:lpstr>MCFPLoanPayTot</vt:lpstr>
      <vt:lpstr>MCFPMedicalInput</vt:lpstr>
      <vt:lpstr>MCFPMedicalTot</vt:lpstr>
      <vt:lpstr>MCFPMortInput</vt:lpstr>
      <vt:lpstr>MCFPMortTot</vt:lpstr>
      <vt:lpstr>MCFPOthIncTot</vt:lpstr>
      <vt:lpstr>MCFPOthInput</vt:lpstr>
      <vt:lpstr>MCFPOthPayInput</vt:lpstr>
      <vt:lpstr>MCFPOthPayTot</vt:lpstr>
      <vt:lpstr>MCFPOthPurchInput</vt:lpstr>
      <vt:lpstr>MCFPOthPurchTot</vt:lpstr>
      <vt:lpstr>MCFPPersCareInput</vt:lpstr>
      <vt:lpstr>MCFPPersCareTot</vt:lpstr>
      <vt:lpstr>MCFPPropInsInput</vt:lpstr>
      <vt:lpstr>MCFPPropInsTot</vt:lpstr>
      <vt:lpstr>MCFPRecInput</vt:lpstr>
      <vt:lpstr>MCFPRecTot</vt:lpstr>
      <vt:lpstr>MCFPRETaxesInput</vt:lpstr>
      <vt:lpstr>MCFPRETaxesTot</vt:lpstr>
      <vt:lpstr>MCFPrinInput</vt:lpstr>
      <vt:lpstr>MCFPrinTot</vt:lpstr>
      <vt:lpstr>MCFPSupInput</vt:lpstr>
      <vt:lpstr>MCFPSupTot</vt:lpstr>
      <vt:lpstr>MCFPUtilInput</vt:lpstr>
      <vt:lpstr>MCFPUtilTot</vt:lpstr>
      <vt:lpstr>MCFPVehInput</vt:lpstr>
      <vt:lpstr>MCFPVehTot</vt:lpstr>
      <vt:lpstr>MCFPWageInput</vt:lpstr>
      <vt:lpstr>MCFPWagesTot</vt:lpstr>
      <vt:lpstr>MCFQuotaBSValInput</vt:lpstr>
      <vt:lpstr>MCFQuotaBSValTot</vt:lpstr>
      <vt:lpstr>MCFQuotaSaleTot</vt:lpstr>
      <vt:lpstr>MCFSalesTot</vt:lpstr>
      <vt:lpstr>MCFVCBairInput</vt:lpstr>
      <vt:lpstr>MCFVCBaitTot</vt:lpstr>
      <vt:lpstr>MCFVCCrewInput</vt:lpstr>
      <vt:lpstr>MCFVCCrewInsInput</vt:lpstr>
      <vt:lpstr>MCFVCCrewInsTot</vt:lpstr>
      <vt:lpstr>MCFVCCrewTot</vt:lpstr>
      <vt:lpstr>MCFVCFuelInput</vt:lpstr>
      <vt:lpstr>MCFVCFuelTot</vt:lpstr>
      <vt:lpstr>MCFVCGearInput</vt:lpstr>
      <vt:lpstr>MCFVCGearTot</vt:lpstr>
      <vt:lpstr>MCFVCMiscInput</vt:lpstr>
      <vt:lpstr>MCFVCMiscTot</vt:lpstr>
      <vt:lpstr>MCFVCOthInput</vt:lpstr>
      <vt:lpstr>MCFVCOthTot</vt:lpstr>
      <vt:lpstr>MCFVCProvisionsInput</vt:lpstr>
      <vt:lpstr>MCFVCProvisionsTot</vt:lpstr>
      <vt:lpstr>MCFVCRepairsInput</vt:lpstr>
      <vt:lpstr>MCFVCRepairsTot</vt:lpstr>
      <vt:lpstr>MCFVCTaxesInput</vt:lpstr>
      <vt:lpstr>MCFVCTaxesTot</vt:lpstr>
      <vt:lpstr>MCFVesBSValInput</vt:lpstr>
      <vt:lpstr>MCFVesBSValTot</vt:lpstr>
      <vt:lpstr>MCFVesleaseInput</vt:lpstr>
      <vt:lpstr>MCFVesLeasTot</vt:lpstr>
      <vt:lpstr>MCFVesSalesInput</vt:lpstr>
      <vt:lpstr>MCFVesSalesTot</vt:lpstr>
      <vt:lpstr>MonthlyIcon1</vt:lpstr>
      <vt:lpstr>Months</vt:lpstr>
      <vt:lpstr>Name</vt:lpstr>
      <vt:lpstr>NCAssetsDetail</vt:lpstr>
      <vt:lpstr>NCBizVehEntry</vt:lpstr>
      <vt:lpstr>NCBusVehTot</vt:lpstr>
      <vt:lpstr>NCCapConstEntry</vt:lpstr>
      <vt:lpstr>NCCapConstTot</vt:lpstr>
      <vt:lpstr>NCOthEntry</vt:lpstr>
      <vt:lpstr>NCOtherFishEquipTot</vt:lpstr>
      <vt:lpstr>NCOtherFishingTot</vt:lpstr>
      <vt:lpstr>NCOthFishEntry</vt:lpstr>
      <vt:lpstr>NCOthLiabEntry</vt:lpstr>
      <vt:lpstr>NCOthLiabTot</vt:lpstr>
      <vt:lpstr>NCPermitsEntry</vt:lpstr>
      <vt:lpstr>NCPermitsTot</vt:lpstr>
      <vt:lpstr>NCREEntry</vt:lpstr>
      <vt:lpstr>NCRETot</vt:lpstr>
      <vt:lpstr>NCVesselsEntry</vt:lpstr>
      <vt:lpstr>NCVesselsTot</vt:lpstr>
      <vt:lpstr>PersCashEntry</vt:lpstr>
      <vt:lpstr>PersCashTot</vt:lpstr>
      <vt:lpstr>PersLAPEntry</vt:lpstr>
      <vt:lpstr>PersLAPTot</vt:lpstr>
      <vt:lpstr>PersLCCEntry</vt:lpstr>
      <vt:lpstr>PersLCCTot</vt:lpstr>
      <vt:lpstr>PersLifeInsEntry</vt:lpstr>
      <vt:lpstr>PersLifeInsTot</vt:lpstr>
      <vt:lpstr>PersLoanEntry</vt:lpstr>
      <vt:lpstr>PersLoanRTot</vt:lpstr>
      <vt:lpstr>PersLOthEntry</vt:lpstr>
      <vt:lpstr>PersLOthTot</vt:lpstr>
      <vt:lpstr>PersLTaxesEntry</vt:lpstr>
      <vt:lpstr>PersLTaxesTot</vt:lpstr>
      <vt:lpstr>PersOthEntry</vt:lpstr>
      <vt:lpstr>PersOthTot</vt:lpstr>
      <vt:lpstr>PersPropEntry</vt:lpstr>
      <vt:lpstr>PersPropTot</vt:lpstr>
      <vt:lpstr>PersREEntry</vt:lpstr>
      <vt:lpstr>PersRetireEntry</vt:lpstr>
      <vt:lpstr>PersRetireTot</vt:lpstr>
      <vt:lpstr>PersRETot</vt:lpstr>
      <vt:lpstr>PersStockEntry</vt:lpstr>
      <vt:lpstr>PersStockTot</vt:lpstr>
      <vt:lpstr>PersVehEntry</vt:lpstr>
      <vt:lpstr>PersVehicleTot</vt:lpstr>
      <vt:lpstr>'Bal Sheet Entry'!Print_Area</vt:lpstr>
      <vt:lpstr>'Final Balance Sheet'!Print_Area</vt:lpstr>
      <vt:lpstr>'Monthly Cash Flow'!Print_Area</vt:lpstr>
      <vt:lpstr>'P&amp;L-Annual Cash Flow'!Print_Area</vt:lpstr>
      <vt:lpstr>'Monthly Cash Flow'!Print_Titles</vt:lpstr>
      <vt:lpstr>ProjPersonal</vt:lpstr>
      <vt:lpstr>ProjTime</vt:lpstr>
      <vt:lpstr>State</vt:lpstr>
      <vt:lpstr>Year</vt:lpstr>
      <vt:lpstr>Year1</vt:lpstr>
      <vt:lpstr>Year2</vt:lpstr>
      <vt:lpstr>Zip</vt:lpstr>
    </vt:vector>
  </TitlesOfParts>
  <Company>Home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Curtis L Mahnken</dc:creator>
  <cp:lastModifiedBy>Curtis L Mahnken</cp:lastModifiedBy>
  <cp:lastPrinted>2015-04-14T15:56:59Z</cp:lastPrinted>
  <dcterms:created xsi:type="dcterms:W3CDTF">2006-07-10T06:45:51Z</dcterms:created>
  <dcterms:modified xsi:type="dcterms:W3CDTF">2016-02-21T06:10:18Z</dcterms:modified>
</cp:coreProperties>
</file>